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Доходное ТП\ПИР Тверьагрострой\ТВ-532 Стр-во КЛ-10\"/>
    </mc:Choice>
  </mc:AlternateContent>
  <bookViews>
    <workbookView xWindow="0" yWindow="0" windowWidth="25200" windowHeight="11190" firstSheet="5" activeTab="12"/>
  </bookViews>
  <sheets>
    <sheet name="межевание" sheetId="20" r:id="rId1"/>
    <sheet name="планировка территории" sheetId="19" r:id="rId2"/>
    <sheet name="топограф 2,97км" sheetId="3" r:id="rId3"/>
    <sheet name="Эколог" sheetId="18" r:id="rId4"/>
    <sheet name="топографКЛ-10 2,97км" sheetId="15" state="hidden" r:id="rId5"/>
    <sheet name="геол" sheetId="17" r:id="rId6"/>
    <sheet name="ПИР КЛ прокол (3)" sheetId="21" r:id="rId7"/>
    <sheet name="СМР ГНБ " sheetId="16" r:id="rId8"/>
    <sheet name="ССР КЛ ГНБ" sheetId="13" r:id="rId9"/>
    <sheet name="ТОП прокол ( 0,38)" sheetId="6" r:id="rId10"/>
    <sheet name="ПИР КЛ 10кВ  2,97км" sheetId="12" r:id="rId11"/>
    <sheet name="смр КЛ 10кВ" sheetId="9" r:id="rId12"/>
    <sheet name="ССР" sheetId="4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__xlnm.Print_Area_1" localSheetId="0">#REF!</definedName>
    <definedName name="__xlnm.Print_Area_1" localSheetId="10">#REF!</definedName>
    <definedName name="__xlnm.Print_Area_1" localSheetId="6">#REF!</definedName>
    <definedName name="__xlnm.Print_Area_1" localSheetId="11">#REF!</definedName>
    <definedName name="__xlnm.Print_Area_1" localSheetId="3">#REF!</definedName>
    <definedName name="__xlnm.Print_Area_1">#REF!</definedName>
    <definedName name="__xlnm.Print_Area_10" localSheetId="0">#REF!</definedName>
    <definedName name="__xlnm.Print_Area_10" localSheetId="10">#REF!</definedName>
    <definedName name="__xlnm.Print_Area_10" localSheetId="11">#REF!</definedName>
    <definedName name="__xlnm.Print_Area_10" localSheetId="3">#REF!</definedName>
    <definedName name="__xlnm.Print_Area_10">#REF!</definedName>
    <definedName name="__xlnm.Print_Area_11" localSheetId="0">#REF!</definedName>
    <definedName name="__xlnm.Print_Area_11" localSheetId="10">#REF!</definedName>
    <definedName name="__xlnm.Print_Area_11" localSheetId="11">#REF!</definedName>
    <definedName name="__xlnm.Print_Area_11" localSheetId="3">#REF!</definedName>
    <definedName name="__xlnm.Print_Area_11">#REF!</definedName>
    <definedName name="__xlnm.Print_Area_12" localSheetId="0">#REF!</definedName>
    <definedName name="__xlnm.Print_Area_12" localSheetId="10">#REF!</definedName>
    <definedName name="__xlnm.Print_Area_12" localSheetId="11">#REF!</definedName>
    <definedName name="__xlnm.Print_Area_12" localSheetId="3">#REF!</definedName>
    <definedName name="__xlnm.Print_Area_12">#REF!</definedName>
    <definedName name="__xlnm.Print_Area_13" localSheetId="0">#REF!</definedName>
    <definedName name="__xlnm.Print_Area_13" localSheetId="10">#REF!</definedName>
    <definedName name="__xlnm.Print_Area_13" localSheetId="11">#REF!</definedName>
    <definedName name="__xlnm.Print_Area_13" localSheetId="3">#REF!</definedName>
    <definedName name="__xlnm.Print_Area_13">#REF!</definedName>
    <definedName name="__xlnm.Print_Area_14" localSheetId="0">#REF!</definedName>
    <definedName name="__xlnm.Print_Area_14" localSheetId="10">#REF!</definedName>
    <definedName name="__xlnm.Print_Area_14" localSheetId="11">#REF!</definedName>
    <definedName name="__xlnm.Print_Area_14" localSheetId="3">#REF!</definedName>
    <definedName name="__xlnm.Print_Area_14">#REF!</definedName>
    <definedName name="__xlnm.Print_Area_15" localSheetId="0">#REF!</definedName>
    <definedName name="__xlnm.Print_Area_15" localSheetId="10">#REF!</definedName>
    <definedName name="__xlnm.Print_Area_15" localSheetId="11">#REF!</definedName>
    <definedName name="__xlnm.Print_Area_15" localSheetId="3">#REF!</definedName>
    <definedName name="__xlnm.Print_Area_15">#REF!</definedName>
    <definedName name="__xlnm.Print_Area_16" localSheetId="0">#REF!</definedName>
    <definedName name="__xlnm.Print_Area_16" localSheetId="10">#REF!</definedName>
    <definedName name="__xlnm.Print_Area_16" localSheetId="11">#REF!</definedName>
    <definedName name="__xlnm.Print_Area_16" localSheetId="3">#REF!</definedName>
    <definedName name="__xlnm.Print_Area_16">#REF!</definedName>
    <definedName name="__xlnm.Print_Area_2" localSheetId="0">#REF!</definedName>
    <definedName name="__xlnm.Print_Area_2" localSheetId="10">#REF!</definedName>
    <definedName name="__xlnm.Print_Area_2" localSheetId="11">#REF!</definedName>
    <definedName name="__xlnm.Print_Area_2" localSheetId="3">#REF!</definedName>
    <definedName name="__xlnm.Print_Area_2">#REF!</definedName>
    <definedName name="__xlnm.Print_Area_3" localSheetId="0">#REF!</definedName>
    <definedName name="__xlnm.Print_Area_3" localSheetId="10">#REF!</definedName>
    <definedName name="__xlnm.Print_Area_3" localSheetId="11">#REF!</definedName>
    <definedName name="__xlnm.Print_Area_3" localSheetId="3">#REF!</definedName>
    <definedName name="__xlnm.Print_Area_3">#REF!</definedName>
    <definedName name="__xlnm.Print_Area_4" localSheetId="0">#REF!</definedName>
    <definedName name="__xlnm.Print_Area_4" localSheetId="10">#REF!</definedName>
    <definedName name="__xlnm.Print_Area_4" localSheetId="11">#REF!</definedName>
    <definedName name="__xlnm.Print_Area_4" localSheetId="3">#REF!</definedName>
    <definedName name="__xlnm.Print_Area_4">#REF!</definedName>
    <definedName name="__xlnm.Print_Area_5" localSheetId="0">#REF!</definedName>
    <definedName name="__xlnm.Print_Area_5" localSheetId="10">#REF!</definedName>
    <definedName name="__xlnm.Print_Area_5" localSheetId="11">#REF!</definedName>
    <definedName name="__xlnm.Print_Area_5" localSheetId="3">#REF!</definedName>
    <definedName name="__xlnm.Print_Area_5">#REF!</definedName>
    <definedName name="__xlnm.Print_Area_6" localSheetId="0">#REF!</definedName>
    <definedName name="__xlnm.Print_Area_6" localSheetId="10">#REF!</definedName>
    <definedName name="__xlnm.Print_Area_6" localSheetId="11">#REF!</definedName>
    <definedName name="__xlnm.Print_Area_6" localSheetId="3">#REF!</definedName>
    <definedName name="__xlnm.Print_Area_6">#REF!</definedName>
    <definedName name="__xlnm.Print_Area_7" localSheetId="0">#REF!</definedName>
    <definedName name="__xlnm.Print_Area_7" localSheetId="10">#REF!</definedName>
    <definedName name="__xlnm.Print_Area_7" localSheetId="11">#REF!</definedName>
    <definedName name="__xlnm.Print_Area_7" localSheetId="3">#REF!</definedName>
    <definedName name="__xlnm.Print_Area_7">#REF!</definedName>
    <definedName name="__xlnm.Print_Area_8" localSheetId="0">#REF!</definedName>
    <definedName name="__xlnm.Print_Area_8" localSheetId="10">#REF!</definedName>
    <definedName name="__xlnm.Print_Area_8" localSheetId="11">#REF!</definedName>
    <definedName name="__xlnm.Print_Area_8" localSheetId="3">#REF!</definedName>
    <definedName name="__xlnm.Print_Area_8">#REF!</definedName>
    <definedName name="__xlnm.Print_Area_9" localSheetId="0">#REF!</definedName>
    <definedName name="__xlnm.Print_Area_9" localSheetId="10">#REF!</definedName>
    <definedName name="__xlnm.Print_Area_9" localSheetId="11">#REF!</definedName>
    <definedName name="__xlnm.Print_Area_9" localSheetId="3">#REF!</definedName>
    <definedName name="__xlnm.Print_Area_9">#REF!</definedName>
    <definedName name="__xlnm.Print_Titles_4" localSheetId="0">#REF!</definedName>
    <definedName name="__xlnm.Print_Titles_4" localSheetId="10">#REF!</definedName>
    <definedName name="__xlnm.Print_Titles_4" localSheetId="11">#REF!</definedName>
    <definedName name="__xlnm.Print_Titles_4" localSheetId="3">#REF!</definedName>
    <definedName name="__xlnm.Print_Titles_4">#REF!</definedName>
    <definedName name="__xlnm.Print_Titles_6" localSheetId="0">#REF!</definedName>
    <definedName name="__xlnm.Print_Titles_6" localSheetId="10">#REF!</definedName>
    <definedName name="__xlnm.Print_Titles_6" localSheetId="11">#REF!</definedName>
    <definedName name="__xlnm.Print_Titles_6" localSheetId="3">#REF!</definedName>
    <definedName name="__xlnm.Print_Titles_6">#REF!</definedName>
    <definedName name="__xlnm.Print_Titles_8" localSheetId="0">#REF!</definedName>
    <definedName name="__xlnm.Print_Titles_8" localSheetId="10">#REF!</definedName>
    <definedName name="__xlnm.Print_Titles_8" localSheetId="11">#REF!</definedName>
    <definedName name="__xlnm.Print_Titles_8" localSheetId="3">#REF!</definedName>
    <definedName name="__xlnm.Print_Titles_8">#REF!</definedName>
    <definedName name="_123" localSheetId="10">#REF!</definedName>
    <definedName name="_123">#REF!</definedName>
    <definedName name="_H4.11" localSheetId="0">#REF!</definedName>
    <definedName name="_H4.11" localSheetId="10">#REF!</definedName>
    <definedName name="_H4.11" localSheetId="11">#REF!</definedName>
    <definedName name="_H4.11" localSheetId="3">#REF!</definedName>
    <definedName name="_H4.11">#REF!</definedName>
    <definedName name="_Hlt440565644_1" localSheetId="0">#REF!</definedName>
    <definedName name="_Hlt440565644_1" localSheetId="10">#REF!</definedName>
    <definedName name="_Hlt440565644_1" localSheetId="11">#REF!</definedName>
    <definedName name="_Hlt440565644_1" localSheetId="3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 localSheetId="0">#REF!</definedName>
    <definedName name="_вввээ" localSheetId="10">#REF!</definedName>
    <definedName name="_вввээ" localSheetId="1">#REF!</definedName>
    <definedName name="_вввээ">#REF!</definedName>
    <definedName name="_рр_" localSheetId="0">#REF!</definedName>
    <definedName name="_рр_" localSheetId="10">#REF!</definedName>
    <definedName name="_рр_" localSheetId="11">#REF!</definedName>
    <definedName name="_рр_" localSheetId="3">#REF!</definedName>
    <definedName name="_рр_">#REF!</definedName>
    <definedName name="_С4.2" localSheetId="0">#REF!</definedName>
    <definedName name="_С4.2" localSheetId="10">#REF!</definedName>
    <definedName name="_С4.2" localSheetId="11">#REF!</definedName>
    <definedName name="_С4.2" localSheetId="3">#REF!</definedName>
    <definedName name="_С4.2">#REF!</definedName>
    <definedName name="a01_СС_Титул_pre_rep" localSheetId="0">#REF!</definedName>
    <definedName name="a01_СС_Титул_pre_rep" localSheetId="10">#REF!</definedName>
    <definedName name="a01_СС_Титул_pre_rep" localSheetId="11">#REF!</definedName>
    <definedName name="a01_СС_Титул_pre_rep" localSheetId="3">#REF!</definedName>
    <definedName name="a01_СС_Титул_pre_rep">#REF!</definedName>
    <definedName name="a02_СС_Шапка_pre_rep" localSheetId="0">#REF!</definedName>
    <definedName name="a02_СС_Шапка_pre_rep" localSheetId="10">#REF!</definedName>
    <definedName name="a02_СС_Шапка_pre_rep" localSheetId="11">#REF!</definedName>
    <definedName name="a02_СС_Шапка_pre_rep" localSheetId="3">#REF!</definedName>
    <definedName name="a02_СС_Шапка_pre_rep">#REF!</definedName>
    <definedName name="a06_СС_Лимитированные_pre_rep" localSheetId="0">#REF!</definedName>
    <definedName name="a06_СС_Лимитированные_pre_rep" localSheetId="10">#REF!</definedName>
    <definedName name="a06_СС_Лимитированные_pre_rep" localSheetId="11">#REF!</definedName>
    <definedName name="a06_СС_Лимитированные_pre_rep" localSheetId="3">#REF!</definedName>
    <definedName name="a06_СС_Лимитированные_pre_rep">#REF!</definedName>
    <definedName name="a08_СС_ЗаголовокЛимит_pre_rep" localSheetId="0">#REF!</definedName>
    <definedName name="a08_СС_ЗаголовокЛимит_pre_rep" localSheetId="10">#REF!</definedName>
    <definedName name="a08_СС_ЗаголовокЛимит_pre_rep" localSheetId="11">#REF!</definedName>
    <definedName name="a08_СС_ЗаголовокЛимит_pre_rep" localSheetId="3">#REF!</definedName>
    <definedName name="a08_СС_ЗаголовокЛимит_pre_rep">#REF!</definedName>
    <definedName name="a24_С_ИтогГрафы_pre_rep" localSheetId="0">#REF!</definedName>
    <definedName name="a24_С_ИтогГрафы_pre_rep" localSheetId="10">#REF!</definedName>
    <definedName name="a24_С_ИтогГрафы_pre_rep" localSheetId="11">#REF!</definedName>
    <definedName name="a24_С_ИтогГрафы_pre_rep" localSheetId="3">#REF!</definedName>
    <definedName name="a24_С_ИтогГрафы_pre_rep">#REF!</definedName>
    <definedName name="a27_С_Концовка_pre_rep" localSheetId="0">#REF!</definedName>
    <definedName name="a27_С_Концовка_pre_rep" localSheetId="10">#REF!</definedName>
    <definedName name="a27_С_Концовка_pre_rep" localSheetId="11">#REF!</definedName>
    <definedName name="a27_С_Концовка_pre_rep" localSheetId="3">#REF!</definedName>
    <definedName name="a27_С_Концовка_pre_rep">#REF!</definedName>
    <definedName name="a33_Р_Заголовок_pre_rep" localSheetId="0">#REF!</definedName>
    <definedName name="a33_Р_Заголовок_pre_rep" localSheetId="10">#REF!</definedName>
    <definedName name="a33_Р_Заголовок_pre_rep" localSheetId="11">#REF!</definedName>
    <definedName name="a33_Р_Заголовок_pre_rep" localSheetId="3">#REF!</definedName>
    <definedName name="a33_Р_Заголовок_pre_rep">#REF!</definedName>
    <definedName name="a34_Р_ИтогГрафы_pre_rep" localSheetId="0">#REF!</definedName>
    <definedName name="a34_Р_ИтогГрафы_pre_rep" localSheetId="10">#REF!</definedName>
    <definedName name="a34_Р_ИтогГрафы_pre_rep" localSheetId="11">#REF!</definedName>
    <definedName name="a34_Р_ИтогГрафы_pre_rep" localSheetId="3">#REF!</definedName>
    <definedName name="a34_Р_ИтогГрафы_pre_rep">#REF!</definedName>
    <definedName name="a43_ПР_Заголовок_pre_rep" localSheetId="0">#REF!</definedName>
    <definedName name="a43_ПР_Заголовок_pre_rep" localSheetId="10">#REF!</definedName>
    <definedName name="a43_ПР_Заголовок_pre_rep" localSheetId="11">#REF!</definedName>
    <definedName name="a43_ПР_Заголовок_pre_rep" localSheetId="3">#REF!</definedName>
    <definedName name="a43_ПР_Заголовок_pre_rep">#REF!</definedName>
    <definedName name="a44_ПР_ИтогГрафы_pre_rep" localSheetId="0">#REF!</definedName>
    <definedName name="a44_ПР_ИтогГрафы_pre_rep" localSheetId="10">#REF!</definedName>
    <definedName name="a44_ПР_ИтогГрафы_pre_rep" localSheetId="11">#REF!</definedName>
    <definedName name="a44_ПР_ИтогГрафы_pre_rep" localSheetId="3">#REF!</definedName>
    <definedName name="a44_ПР_ИтогГрафы_pre_rep">#REF!</definedName>
    <definedName name="a51_Ст_Строка_pre_rep" localSheetId="0">#REF!</definedName>
    <definedName name="a51_Ст_Строка_pre_rep" localSheetId="10">#REF!</definedName>
    <definedName name="a51_Ст_Строка_pre_rep" localSheetId="11">#REF!</definedName>
    <definedName name="a51_Ст_Строка_pre_rep" localSheetId="3">#REF!</definedName>
    <definedName name="a51_Ст_Строка_pre_rep">#REF!</definedName>
    <definedName name="a52_Ст_Поправки_pre_rep" localSheetId="0">#REF!</definedName>
    <definedName name="a52_Ст_Поправки_pre_rep" localSheetId="10">#REF!</definedName>
    <definedName name="a52_Ст_Поправки_pre_rep" localSheetId="11">#REF!</definedName>
    <definedName name="a52_Ст_Поправки_pre_rep" localSheetId="3">#REF!</definedName>
    <definedName name="a52_Ст_Поправки_pre_rep">#REF!</definedName>
    <definedName name="a54_Ст_НРиСП_pre_rep" localSheetId="0">#REF!</definedName>
    <definedName name="a54_Ст_НРиСП_pre_rep" localSheetId="10">#REF!</definedName>
    <definedName name="a54_Ст_НРиСП_pre_rep" localSheetId="11">#REF!</definedName>
    <definedName name="a54_Ст_НРиСП_pre_rep" localSheetId="3">#REF!</definedName>
    <definedName name="a54_Ст_НРиСП_pre_rep">#REF!</definedName>
    <definedName name="ABN" localSheetId="0">[1]!ABN</definedName>
    <definedName name="ABN" localSheetId="10">[1]!ABN</definedName>
    <definedName name="ABN" localSheetId="11">[1]!ABN</definedName>
    <definedName name="ABN">[1]!ABN</definedName>
    <definedName name="D" localSheetId="0">[2]Список!$D$1:$D$2</definedName>
    <definedName name="D" localSheetId="10">[3]Список!$D$1:$D$2</definedName>
    <definedName name="D" localSheetId="1">[2]Список!$D$1:$D$2</definedName>
    <definedName name="D" localSheetId="3">[2]Список!$D$1:$D$2</definedName>
    <definedName name="D">[4]Список!$D$1:$D$2</definedName>
    <definedName name="dial_koef_udar" localSheetId="0">[5]!dial_koef_udar</definedName>
    <definedName name="dial_koef_udar" localSheetId="10">[5]!dial_koef_udar</definedName>
    <definedName name="dial_koef_udar" localSheetId="11">[5]!dial_koef_udar</definedName>
    <definedName name="dial_koef_udar">[5]!dial_koef_udar</definedName>
    <definedName name="dial_koef_zap" localSheetId="0">[6]!dial_koef_zap</definedName>
    <definedName name="dial_koef_zap" localSheetId="10">[6]!dial_koef_zap</definedName>
    <definedName name="dial_koef_zap" localSheetId="11">[6]!dial_koef_zap</definedName>
    <definedName name="dial_koef_zap">[6]!dial_koef_zap</definedName>
    <definedName name="dial_mater" localSheetId="0">[6]!dial_mater</definedName>
    <definedName name="dial_mater" localSheetId="10">[6]!dial_mater</definedName>
    <definedName name="dial_mater" localSheetId="11">[6]!dial_mater</definedName>
    <definedName name="dial_mater">[6]!dial_mater</definedName>
    <definedName name="dial_mater_udar" localSheetId="0">[5]!dial_mater_udar</definedName>
    <definedName name="dial_mater_udar" localSheetId="10">[5]!dial_mater_udar</definedName>
    <definedName name="dial_mater_udar" localSheetId="11">[5]!dial_mater_udar</definedName>
    <definedName name="dial_mater_udar">[5]!dial_mater_udar</definedName>
    <definedName name="dialog_montag_show" localSheetId="0">[6]!dialog_montag_show</definedName>
    <definedName name="dialog_montag_show" localSheetId="10">[6]!dialog_montag_show</definedName>
    <definedName name="dialog_montag_show" localSheetId="11">[6]!dialog_montag_show</definedName>
    <definedName name="dialog_montag_show">[6]!dialog_montag_show</definedName>
    <definedName name="dtp_num" localSheetId="0">#REF!</definedName>
    <definedName name="dtp_num" localSheetId="10">#REF!</definedName>
    <definedName name="dtp_num" localSheetId="6">#REF!</definedName>
    <definedName name="dtp_num" localSheetId="1">#REF!</definedName>
    <definedName name="dtp_num" localSheetId="11">#REF!</definedName>
    <definedName name="dtp_num" localSheetId="3">#REF!</definedName>
    <definedName name="dtp_num">#REF!</definedName>
    <definedName name="E" localSheetId="0">[2]Список!$E$1:$E$2</definedName>
    <definedName name="E" localSheetId="10">[3]Список!$E$1:$E$2</definedName>
    <definedName name="E" localSheetId="1">[2]Список!$E$1:$E$2</definedName>
    <definedName name="E" localSheetId="3">[2]Список!$E$1:$E$2</definedName>
    <definedName name="E">[4]Список!$E$1:$E$2</definedName>
    <definedName name="efsdf" localSheetId="0">#REF!</definedName>
    <definedName name="efsdf" localSheetId="10">#REF!</definedName>
    <definedName name="efsdf" localSheetId="6">#REF!</definedName>
    <definedName name="efsdf" localSheetId="11">#REF!</definedName>
    <definedName name="efsdf" localSheetId="3">#REF!</definedName>
    <definedName name="efsdf">#REF!</definedName>
    <definedName name="Excel_BuiltIn_Print_Area_1" localSheetId="0">#REF!</definedName>
    <definedName name="Excel_BuiltIn_Print_Area_1" localSheetId="10">#REF!</definedName>
    <definedName name="Excel_BuiltIn_Print_Area_1" localSheetId="11">#REF!</definedName>
    <definedName name="Excel_BuiltIn_Print_Area_1" localSheetId="3">#REF!</definedName>
    <definedName name="Excel_BuiltIn_Print_Area_1">#REF!</definedName>
    <definedName name="Excel_BuiltIn_Print_Area_11" localSheetId="0">#REF!</definedName>
    <definedName name="Excel_BuiltIn_Print_Area_11" localSheetId="10">#REF!</definedName>
    <definedName name="Excel_BuiltIn_Print_Area_11" localSheetId="11">#REF!</definedName>
    <definedName name="Excel_BuiltIn_Print_Area_11" localSheetId="3">#REF!</definedName>
    <definedName name="Excel_BuiltIn_Print_Area_11">#REF!</definedName>
    <definedName name="Excel_BuiltIn_Print_Area_12" localSheetId="0">#REF!</definedName>
    <definedName name="Excel_BuiltIn_Print_Area_12" localSheetId="10">#REF!</definedName>
    <definedName name="Excel_BuiltIn_Print_Area_12" localSheetId="11">#REF!</definedName>
    <definedName name="Excel_BuiltIn_Print_Area_12" localSheetId="3">#REF!</definedName>
    <definedName name="Excel_BuiltIn_Print_Area_12">#REF!</definedName>
    <definedName name="Excel_BuiltIn_Print_Area_13" localSheetId="0">#REF!</definedName>
    <definedName name="Excel_BuiltIn_Print_Area_13" localSheetId="10">#REF!</definedName>
    <definedName name="Excel_BuiltIn_Print_Area_13" localSheetId="11">#REF!</definedName>
    <definedName name="Excel_BuiltIn_Print_Area_13" localSheetId="3">#REF!</definedName>
    <definedName name="Excel_BuiltIn_Print_Area_13">#REF!</definedName>
    <definedName name="Excel_BuiltIn_Print_Area_2" localSheetId="0">#REF!</definedName>
    <definedName name="Excel_BuiltIn_Print_Area_2" localSheetId="10">#REF!</definedName>
    <definedName name="Excel_BuiltIn_Print_Area_2" localSheetId="11">#REF!</definedName>
    <definedName name="Excel_BuiltIn_Print_Area_2" localSheetId="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 localSheetId="0">#REF!</definedName>
    <definedName name="Excel_BuiltIn_Print_Area_4" localSheetId="10">#REF!</definedName>
    <definedName name="Excel_BuiltIn_Print_Area_4" localSheetId="6">#REF!</definedName>
    <definedName name="Excel_BuiltIn_Print_Area_4" localSheetId="11">#REF!</definedName>
    <definedName name="Excel_BuiltIn_Print_Area_4" localSheetId="3">#REF!</definedName>
    <definedName name="Excel_BuiltIn_Print_Area_4">#REF!</definedName>
    <definedName name="Excel_BuiltIn_Print_Area_5" localSheetId="0">#REF!</definedName>
    <definedName name="Excel_BuiltIn_Print_Area_5" localSheetId="10">#REF!</definedName>
    <definedName name="Excel_BuiltIn_Print_Area_5" localSheetId="11">#REF!</definedName>
    <definedName name="Excel_BuiltIn_Print_Area_5" localSheetId="3">#REF!</definedName>
    <definedName name="Excel_BuiltIn_Print_Area_5">#REF!</definedName>
    <definedName name="Excel_BuiltIn_Print_Area_9" localSheetId="0">#REF!</definedName>
    <definedName name="Excel_BuiltIn_Print_Area_9" localSheetId="10">#REF!</definedName>
    <definedName name="Excel_BuiltIn_Print_Area_9" localSheetId="11">#REF!</definedName>
    <definedName name="Excel_BuiltIn_Print_Area_9" localSheetId="3">#REF!</definedName>
    <definedName name="Excel_BuiltIn_Print_Area_9">#REF!</definedName>
    <definedName name="Excel_BuiltIn_Print_Titles_12" localSheetId="0">#REF!</definedName>
    <definedName name="Excel_BuiltIn_Print_Titles_12" localSheetId="10">#REF!</definedName>
    <definedName name="Excel_BuiltIn_Print_Titles_12" localSheetId="11">#REF!</definedName>
    <definedName name="Excel_BuiltIn_Print_Titles_12" localSheetId="3">#REF!</definedName>
    <definedName name="Excel_BuiltIn_Print_Titles_12">#REF!</definedName>
    <definedName name="Excel_BuiltIn_Print_Titles_13" localSheetId="0">#REF!</definedName>
    <definedName name="Excel_BuiltIn_Print_Titles_13" localSheetId="10">#REF!</definedName>
    <definedName name="Excel_BuiltIn_Print_Titles_13" localSheetId="11">#REF!</definedName>
    <definedName name="Excel_BuiltIn_Print_Titles_13" localSheetId="3">#REF!</definedName>
    <definedName name="Excel_BuiltIn_Print_Titles_13">#REF!</definedName>
    <definedName name="Excel_BuiltIn_Print_Titles_3" localSheetId="0">#REF!</definedName>
    <definedName name="Excel_BuiltIn_Print_Titles_3" localSheetId="10">#REF!</definedName>
    <definedName name="Excel_BuiltIn_Print_Titles_3" localSheetId="11">#REF!</definedName>
    <definedName name="Excel_BuiltIn_Print_Titles_3" localSheetId="3">#REF!</definedName>
    <definedName name="Excel_BuiltIn_Print_Titles_3">#REF!</definedName>
    <definedName name="Excel_BuiltIn_Print_Titles_3_1" localSheetId="0">#REF!</definedName>
    <definedName name="Excel_BuiltIn_Print_Titles_3_1" localSheetId="10">#REF!</definedName>
    <definedName name="Excel_BuiltIn_Print_Titles_3_1" localSheetId="11">#REF!</definedName>
    <definedName name="Excel_BuiltIn_Print_Titles_3_1" localSheetId="3">#REF!</definedName>
    <definedName name="Excel_BuiltIn_Print_Titles_3_1">#REF!</definedName>
    <definedName name="Excel_BuiltIn_Print_Titles_4_1" localSheetId="0">#REF!</definedName>
    <definedName name="Excel_BuiltIn_Print_Titles_4_1" localSheetId="10">#REF!</definedName>
    <definedName name="Excel_BuiltIn_Print_Titles_4_1" localSheetId="11">#REF!</definedName>
    <definedName name="Excel_BuiltIn_Print_Titles_4_1" localSheetId="3">#REF!</definedName>
    <definedName name="Excel_BuiltIn_Print_Titles_4_1">#REF!</definedName>
    <definedName name="Excel_BuiltIn_Print_Titles_5" localSheetId="0">#REF!</definedName>
    <definedName name="Excel_BuiltIn_Print_Titles_5" localSheetId="10">#REF!</definedName>
    <definedName name="Excel_BuiltIn_Print_Titles_5" localSheetId="11">#REF!</definedName>
    <definedName name="Excel_BuiltIn_Print_Titles_5" localSheetId="3">#REF!</definedName>
    <definedName name="Excel_BuiltIn_Print_Titles_5">#REF!</definedName>
    <definedName name="Excel_BuiltIn_Print_Titles_8" localSheetId="0">#REF!</definedName>
    <definedName name="Excel_BuiltIn_Print_Titles_8" localSheetId="10">#REF!</definedName>
    <definedName name="Excel_BuiltIn_Print_Titles_8" localSheetId="11">#REF!</definedName>
    <definedName name="Excel_BuiltIn_Print_Titles_8" localSheetId="3">#REF!</definedName>
    <definedName name="Excel_BuiltIn_Print_Titles_8">#REF!</definedName>
    <definedName name="Excel_BuiltIn_Print_Titles_9" localSheetId="0">#REF!</definedName>
    <definedName name="Excel_BuiltIn_Print_Titles_9" localSheetId="10">#REF!</definedName>
    <definedName name="Excel_BuiltIn_Print_Titles_9" localSheetId="11">#REF!</definedName>
    <definedName name="Excel_BuiltIn_Print_Titles_9" localSheetId="3">#REF!</definedName>
    <definedName name="Excel_BuiltIn_Print_Titles_9">#REF!</definedName>
    <definedName name="excel10" localSheetId="0">#REF!</definedName>
    <definedName name="excel10" localSheetId="10">#REF!</definedName>
    <definedName name="excel10" localSheetId="11">#REF!</definedName>
    <definedName name="excel10" localSheetId="3">#REF!</definedName>
    <definedName name="excel10">#REF!</definedName>
    <definedName name="Excel3" localSheetId="0">#REF!</definedName>
    <definedName name="Excel3" localSheetId="10">#REF!</definedName>
    <definedName name="Excel3" localSheetId="11">#REF!</definedName>
    <definedName name="Excel3" localSheetId="3">#REF!</definedName>
    <definedName name="Excel3">#REF!</definedName>
    <definedName name="exel" localSheetId="0">#REF!</definedName>
    <definedName name="exel" localSheetId="10">#REF!</definedName>
    <definedName name="exel" localSheetId="11">#REF!</definedName>
    <definedName name="exel" localSheetId="3">#REF!</definedName>
    <definedName name="exel">#REF!</definedName>
    <definedName name="exel02" localSheetId="0">#REF!</definedName>
    <definedName name="exel02" localSheetId="10">#REF!</definedName>
    <definedName name="exel02" localSheetId="11">#REF!</definedName>
    <definedName name="exel02" localSheetId="3">#REF!</definedName>
    <definedName name="exel02">#REF!</definedName>
    <definedName name="exel1" localSheetId="0">#REF!</definedName>
    <definedName name="exel1" localSheetId="10">#REF!</definedName>
    <definedName name="exel1" localSheetId="11">#REF!</definedName>
    <definedName name="exel1" localSheetId="3">#REF!</definedName>
    <definedName name="exel1">#REF!</definedName>
    <definedName name="exel111" localSheetId="0">#REF!</definedName>
    <definedName name="exel111" localSheetId="10">#REF!</definedName>
    <definedName name="exel111" localSheetId="11">#REF!</definedName>
    <definedName name="exel111" localSheetId="3">#REF!</definedName>
    <definedName name="exel111">#REF!</definedName>
    <definedName name="exel2" localSheetId="0">#REF!</definedName>
    <definedName name="exel2" localSheetId="10">#REF!</definedName>
    <definedName name="exel2" localSheetId="11">#REF!</definedName>
    <definedName name="exel2" localSheetId="3">#REF!</definedName>
    <definedName name="exel2">#REF!</definedName>
    <definedName name="F" localSheetId="0">[2]Список!$F$1:$F$2</definedName>
    <definedName name="F" localSheetId="10">[3]Список!$F$1:$F$2</definedName>
    <definedName name="F" localSheetId="1">[2]Список!$F$1:$F$2</definedName>
    <definedName name="F" localSheetId="3">[2]Список!$F$1:$F$2</definedName>
    <definedName name="F">[4]Список!$F$1:$F$2</definedName>
    <definedName name="fcsdf" localSheetId="0">#REF!</definedName>
    <definedName name="fcsdf" localSheetId="10">#REF!</definedName>
    <definedName name="fcsdf" localSheetId="6">#REF!</definedName>
    <definedName name="fcsdf" localSheetId="11">#REF!</definedName>
    <definedName name="fcsdf" localSheetId="3">#REF!</definedName>
    <definedName name="fcsdf">#REF!</definedName>
    <definedName name="FD" localSheetId="0">[7]!FD</definedName>
    <definedName name="FD" localSheetId="10">[7]!FD</definedName>
    <definedName name="FD" localSheetId="11">[7]!FD</definedName>
    <definedName name="FD">[7]!FD</definedName>
    <definedName name="fghj" localSheetId="0">[8]!dial_mater_udar</definedName>
    <definedName name="fghj" localSheetId="10">[8]!dial_mater_udar</definedName>
    <definedName name="fghj" localSheetId="11">[8]!dial_mater_udar</definedName>
    <definedName name="fghj">[8]!dial_mater_udar</definedName>
    <definedName name="gerl" localSheetId="0">[9]!dial_mater</definedName>
    <definedName name="gerl" localSheetId="10">[9]!dial_mater</definedName>
    <definedName name="gerl" localSheetId="11">[9]!dial_mater</definedName>
    <definedName name="gerl">[9]!dial_mater</definedName>
    <definedName name="h" localSheetId="0">#REF!</definedName>
    <definedName name="h" localSheetId="10">#REF!</definedName>
    <definedName name="h" localSheetId="6">#REF!</definedName>
    <definedName name="h" localSheetId="11">#REF!</definedName>
    <definedName name="h" localSheetId="3">#REF!</definedName>
    <definedName name="h">#REF!</definedName>
    <definedName name="hgjg" localSheetId="0">#REF!</definedName>
    <definedName name="hgjg" localSheetId="10">#REF!</definedName>
    <definedName name="hgjg" localSheetId="11">#REF!</definedName>
    <definedName name="hgjg" localSheetId="3">#REF!</definedName>
    <definedName name="hgjg">#REF!</definedName>
    <definedName name="NumTxt" localSheetId="0">Модуль1.NumTxt</definedName>
    <definedName name="NumTxt" localSheetId="10">Модуль1.NumTxt</definedName>
    <definedName name="NumTxt" localSheetId="6">Модуль1.NumTxt</definedName>
    <definedName name="NumTxt" localSheetId="1">Модуль1.NumTxt</definedName>
    <definedName name="NumTxt" localSheetId="11">Модуль1.NumTxt</definedName>
    <definedName name="NumTxt" localSheetId="12">Модуль1.NumTxt</definedName>
    <definedName name="NumTxt" localSheetId="9">Модуль1.NumTxt</definedName>
    <definedName name="NumTxt" localSheetId="2">Модуль1.NumTxt</definedName>
    <definedName name="NumTxt" localSheetId="3">Модуль1.NumTxt</definedName>
    <definedName name="NumTxt">Модуль1.NumTxt</definedName>
    <definedName name="PDat" localSheetId="0">[7]!PDat</definedName>
    <definedName name="PDat" localSheetId="10">[7]!PDat</definedName>
    <definedName name="PDat" localSheetId="11">[7]!PDat</definedName>
    <definedName name="PDat">[7]!PDat</definedName>
    <definedName name="PRI_NAME" localSheetId="0">#REF!</definedName>
    <definedName name="PRI_NAME" localSheetId="10">#REF!</definedName>
    <definedName name="PRI_NAME" localSheetId="6">#REF!</definedName>
    <definedName name="PRI_NAME" localSheetId="1">#REF!</definedName>
    <definedName name="PRI_NAME" localSheetId="11">#REF!</definedName>
    <definedName name="PRI_NAME" localSheetId="3">#REF!</definedName>
    <definedName name="PRI_NAME">#REF!</definedName>
    <definedName name="Print_Area" localSheetId="0">#REF!</definedName>
    <definedName name="Print_Area" localSheetId="10">#REF!</definedName>
    <definedName name="Print_Area" localSheetId="11">#REF!</definedName>
    <definedName name="Print_Area" localSheetId="3">#REF!</definedName>
    <definedName name="Print_Area">#REF!</definedName>
    <definedName name="qqq" localSheetId="0">Модуль1.NumTxt</definedName>
    <definedName name="qqq" localSheetId="10">Модуль1.NumTxt</definedName>
    <definedName name="qqq" localSheetId="6">Модуль1.NumTxt</definedName>
    <definedName name="qqq" localSheetId="1">Модуль1.NumTxt</definedName>
    <definedName name="qqq" localSheetId="11">Модуль1.NumTxt</definedName>
    <definedName name="qqq" localSheetId="12">Модуль1.NumTxt</definedName>
    <definedName name="qqq" localSheetId="9">Модуль1.NumTxt</definedName>
    <definedName name="qqq" localSheetId="2">Модуль1.NumTxt</definedName>
    <definedName name="qqq" localSheetId="3">Модуль1.NumTxt</definedName>
    <definedName name="qqq">Модуль1.NumTxt</definedName>
    <definedName name="Rashod_dolot_udar" localSheetId="0">[5]!Rashod_dolot_udar</definedName>
    <definedName name="Rashod_dolot_udar" localSheetId="10">[5]!Rashod_dolot_udar</definedName>
    <definedName name="Rashod_dolot_udar" localSheetId="11">[5]!Rashod_dolot_udar</definedName>
    <definedName name="Rashod_dolot_udar">[5]!Rashod_dolot_udar</definedName>
    <definedName name="Rashod_dolot_zap" localSheetId="0">[6]!Rashod_dolot_zap</definedName>
    <definedName name="Rashod_dolot_zap" localSheetId="10">[6]!Rashod_dolot_zap</definedName>
    <definedName name="Rashod_dolot_zap" localSheetId="11">[6]!Rashod_dolot_zap</definedName>
    <definedName name="Rashod_dolot_zap">[6]!Rashod_dolot_zap</definedName>
    <definedName name="s" localSheetId="0">Модуль1.NumTxt</definedName>
    <definedName name="s" localSheetId="10">Модуль1.NumTxt</definedName>
    <definedName name="s" localSheetId="6">Модуль1.NumTxt</definedName>
    <definedName name="s" localSheetId="1">Модуль1.NumTxt</definedName>
    <definedName name="s" localSheetId="11">Модуль1.NumTxt</definedName>
    <definedName name="s" localSheetId="12">Модуль1.NumTxt</definedName>
    <definedName name="s" localSheetId="9">Модуль1.NumTxt</definedName>
    <definedName name="s" localSheetId="2">Модуль1.NumTxt</definedName>
    <definedName name="s" localSheetId="3">Модуль1.NumTxt</definedName>
    <definedName name="s">Модуль1.NumTxt</definedName>
    <definedName name="solver_adj" localSheetId="10" hidden="1">'ПИР КЛ 10кВ  2,97км'!#REF!</definedName>
    <definedName name="solver_cvg" localSheetId="10" hidden="1">0.0001</definedName>
    <definedName name="solver_drv" localSheetId="10" hidden="1">1</definedName>
    <definedName name="solver_est" localSheetId="10" hidden="1">1</definedName>
    <definedName name="solver_itr" localSheetId="10" hidden="1">100</definedName>
    <definedName name="solver_lin" localSheetId="10" hidden="1">2</definedName>
    <definedName name="solver_neg" localSheetId="10" hidden="1">2</definedName>
    <definedName name="solver_num" localSheetId="10" hidden="1">0</definedName>
    <definedName name="solver_nwt" localSheetId="10" hidden="1">1</definedName>
    <definedName name="solver_opt" localSheetId="10" hidden="1">'ПИР КЛ 10кВ  2,97км'!#REF!</definedName>
    <definedName name="solver_pre" localSheetId="10" hidden="1">0.000001</definedName>
    <definedName name="solver_scl" localSheetId="10" hidden="1">2</definedName>
    <definedName name="solver_sho" localSheetId="10" hidden="1">2</definedName>
    <definedName name="solver_tim" localSheetId="10" hidden="1">100</definedName>
    <definedName name="solver_tol" localSheetId="10" hidden="1">0.05</definedName>
    <definedName name="solver_typ" localSheetId="10" hidden="1">3</definedName>
    <definedName name="solver_val" localSheetId="10" hidden="1">31250</definedName>
    <definedName name="Sum_Prop" localSheetId="0">[7]!sum_prop</definedName>
    <definedName name="Sum_Prop" localSheetId="10">[7]!sum_prop</definedName>
    <definedName name="Sum_Prop" localSheetId="11">[7]!sum_prop</definedName>
    <definedName name="Sum_Prop">[7]!sum_prop</definedName>
    <definedName name="Times" localSheetId="0">#REF!</definedName>
    <definedName name="Times" localSheetId="10">#REF!</definedName>
    <definedName name="Times" localSheetId="6">#REF!</definedName>
    <definedName name="Times" localSheetId="1">#REF!</definedName>
    <definedName name="Times" localSheetId="11">#REF!</definedName>
    <definedName name="Times">#REF!</definedName>
    <definedName name="vvod_ini" localSheetId="0">[10]!vvod_ini</definedName>
    <definedName name="vvod_ini" localSheetId="10">[10]!vvod_ini</definedName>
    <definedName name="vvod_ini" localSheetId="11">[10]!vvod_ini</definedName>
    <definedName name="vvod_ini">[10]!vvod_ini</definedName>
    <definedName name="w.xls" localSheetId="0">[11]Привод!#REF!</definedName>
    <definedName name="w.xls" localSheetId="10">[11]Привод!#REF!</definedName>
    <definedName name="w.xls" localSheetId="6">[11]Привод!#REF!</definedName>
    <definedName name="w.xls" localSheetId="1">[11]Привод!#REF!</definedName>
    <definedName name="w.xls" localSheetId="11">[11]Привод!#REF!</definedName>
    <definedName name="w.xls" localSheetId="3">[11]Привод!#REF!</definedName>
    <definedName name="w.xls">[11]Привод!#REF!</definedName>
    <definedName name="WS.XLS" localSheetId="0">#REF!</definedName>
    <definedName name="WS.XLS" localSheetId="10">#REF!</definedName>
    <definedName name="WS.XLS" localSheetId="6">#REF!</definedName>
    <definedName name="WS.XLS" localSheetId="11">#REF!</definedName>
    <definedName name="WS.XLS" localSheetId="3">#REF!</definedName>
    <definedName name="WS.XLS">#REF!</definedName>
    <definedName name="ZK" localSheetId="0">#REF!</definedName>
    <definedName name="ZK" localSheetId="10">#REF!</definedName>
    <definedName name="ZK" localSheetId="11">#REF!</definedName>
    <definedName name="ZK" localSheetId="3">#REF!</definedName>
    <definedName name="ZK">#REF!</definedName>
    <definedName name="zzzzz" localSheetId="0">#REF!</definedName>
    <definedName name="zzzzz" localSheetId="10">#REF!</definedName>
    <definedName name="zzzzz" localSheetId="11">#REF!</definedName>
    <definedName name="zzzzz" localSheetId="3">#REF!</definedName>
    <definedName name="zzzzz">#REF!</definedName>
    <definedName name="А" localSheetId="0">[2]Список!$A$1:$A$5</definedName>
    <definedName name="А" localSheetId="10">[3]Список!$A$1:$A$5</definedName>
    <definedName name="А" localSheetId="1">[2]Список!$A$1:$A$5</definedName>
    <definedName name="А" localSheetId="3">[2]Список!$A$1:$A$5</definedName>
    <definedName name="А">[4]Список!$A$1:$A$5</definedName>
    <definedName name="аааааааааааа" localSheetId="0">#REF!</definedName>
    <definedName name="аааааааааааа" localSheetId="10">#REF!</definedName>
    <definedName name="аааааааааааа" localSheetId="6">#REF!</definedName>
    <definedName name="аааааааааааа" localSheetId="11">#REF!</definedName>
    <definedName name="аааааааааааа" localSheetId="3">#REF!</definedName>
    <definedName name="аааааааааааа">#REF!</definedName>
    <definedName name="ааррпп" localSheetId="0">#REF!</definedName>
    <definedName name="ааррпп" localSheetId="10">#REF!</definedName>
    <definedName name="ааррпп" localSheetId="11">#REF!</definedName>
    <definedName name="ааррпп" localSheetId="3">#REF!</definedName>
    <definedName name="ааррпп">#REF!</definedName>
    <definedName name="аве" localSheetId="0">[1]!ABN</definedName>
    <definedName name="аве" localSheetId="10">[1]!ABN</definedName>
    <definedName name="аве" localSheetId="11">[1]!ABN</definedName>
    <definedName name="аве">[1]!ABN</definedName>
    <definedName name="авпе12" localSheetId="0">#REF!</definedName>
    <definedName name="авпе12" localSheetId="10">#REF!</definedName>
    <definedName name="авпе12" localSheetId="6">#REF!</definedName>
    <definedName name="авпе12" localSheetId="11">#REF!</definedName>
    <definedName name="авпе12" localSheetId="3">#REF!</definedName>
    <definedName name="авпе12">#REF!</definedName>
    <definedName name="Авторский_надзор" localSheetId="0">#REF!</definedName>
    <definedName name="Авторский_надзор" localSheetId="10">#REF!</definedName>
    <definedName name="Авторский_надзор" localSheetId="11">#REF!</definedName>
    <definedName name="Авторский_надзор" localSheetId="3">#REF!</definedName>
    <definedName name="Авторский_надзор">#REF!</definedName>
    <definedName name="акт" localSheetId="0">#REF!</definedName>
    <definedName name="акт" localSheetId="10">#REF!</definedName>
    <definedName name="акт" localSheetId="11">#REF!</definedName>
    <definedName name="акт" localSheetId="3">#REF!</definedName>
    <definedName name="акт">#REF!</definedName>
    <definedName name="аморт." localSheetId="0">[12]!dial_koef_udar</definedName>
    <definedName name="аморт." localSheetId="10">[12]!dial_koef_udar</definedName>
    <definedName name="аморт." localSheetId="11">[12]!dial_koef_udar</definedName>
    <definedName name="аморт.">[12]!dial_koef_udar</definedName>
    <definedName name="апр" localSheetId="0">#REF!</definedName>
    <definedName name="апр" localSheetId="10">#REF!</definedName>
    <definedName name="апр" localSheetId="6">#REF!</definedName>
    <definedName name="апр" localSheetId="11">#REF!</definedName>
    <definedName name="апр" localSheetId="3">#REF!</definedName>
    <definedName name="апр">#REF!</definedName>
    <definedName name="апрарар" localSheetId="0">#REF!</definedName>
    <definedName name="апрарар" localSheetId="10">#REF!</definedName>
    <definedName name="апрарар" localSheetId="11">#REF!</definedName>
    <definedName name="апрарар" localSheetId="3">#REF!</definedName>
    <definedName name="апрарар">#REF!</definedName>
    <definedName name="арпарп" localSheetId="0">#REF!</definedName>
    <definedName name="арпарп" localSheetId="10">#REF!</definedName>
    <definedName name="арпарп" localSheetId="11">#REF!</definedName>
    <definedName name="арпарп" localSheetId="3">#REF!</definedName>
    <definedName name="арпарп">#REF!</definedName>
    <definedName name="В" localSheetId="0">[2]Список!$B$1:$B$11</definedName>
    <definedName name="В" localSheetId="10">[3]Список!$B$1:$B$11</definedName>
    <definedName name="В" localSheetId="1">[2]Список!$B$1:$B$11</definedName>
    <definedName name="В" localSheetId="3">[2]Список!$B$1:$B$11</definedName>
    <definedName name="В">[4]Список!$B$1:$B$11</definedName>
    <definedName name="ва" localSheetId="0">#REF!</definedName>
    <definedName name="ва" localSheetId="10">#REF!</definedName>
    <definedName name="ва" localSheetId="6">#REF!</definedName>
    <definedName name="ва" localSheetId="11">#REF!</definedName>
    <definedName name="ва" localSheetId="3">#REF!</definedName>
    <definedName name="ва">#REF!</definedName>
    <definedName name="ветер" localSheetId="0">[13]Таблица!$O$23:$O$24</definedName>
    <definedName name="ветер" localSheetId="1">[13]Таблица!$O$23:$O$24</definedName>
    <definedName name="ветер" localSheetId="3">[13]Таблица!$O$23:$O$24</definedName>
    <definedName name="ветер">[14]Таблица!$O$23:$O$24</definedName>
    <definedName name="ВЛ" localSheetId="0">#REF!</definedName>
    <definedName name="ВЛ" localSheetId="10">#REF!</definedName>
    <definedName name="ВЛ" localSheetId="6">#REF!</definedName>
    <definedName name="ВЛ" localSheetId="11">#REF!</definedName>
    <definedName name="ВЛ" localSheetId="3">#REF!</definedName>
    <definedName name="ВЛ">#REF!</definedName>
    <definedName name="ВЛ110">[15]Справка!$I$3:$I$35</definedName>
    <definedName name="Возвратные_суммы" localSheetId="0">#REF!</definedName>
    <definedName name="Возвратные_суммы" localSheetId="10">#REF!</definedName>
    <definedName name="Возвратные_суммы" localSheetId="6">#REF!</definedName>
    <definedName name="Возвратные_суммы" localSheetId="11">#REF!</definedName>
    <definedName name="Возвратные_суммы" localSheetId="3">#REF!</definedName>
    <definedName name="Возвратные_суммы">#REF!</definedName>
    <definedName name="Воздушные_линии" localSheetId="0">[13]Таблица!$B$6:$B$82</definedName>
    <definedName name="Воздушные_линии" localSheetId="1">[13]Таблица!$B$6:$B$82</definedName>
    <definedName name="Воздушные_линии" localSheetId="3">[13]Таблица!$B$6:$B$82</definedName>
    <definedName name="Воздушные_линии">[14]Таблица!$B$6:$B$82</definedName>
    <definedName name="Восстановление_покрытий" localSheetId="0">[13]Таблица!$B$342:$B$346</definedName>
    <definedName name="Восстановление_покрытий" localSheetId="1">[13]Таблица!$B$342:$B$346</definedName>
    <definedName name="Восстановление_покрытий" localSheetId="3">[13]Таблица!$B$342:$B$346</definedName>
    <definedName name="Восстановление_покрытий">[14]Таблица!$B$342:$B$346</definedName>
    <definedName name="Временные_здания_линия" localSheetId="0">#REF!</definedName>
    <definedName name="Временные_здания_линия" localSheetId="10">#REF!</definedName>
    <definedName name="Временные_здания_линия" localSheetId="6">#REF!</definedName>
    <definedName name="Временные_здания_линия" localSheetId="11">#REF!</definedName>
    <definedName name="Временные_здания_линия" localSheetId="3">#REF!</definedName>
    <definedName name="Временные_здания_линия">#REF!</definedName>
    <definedName name="Временные_здания_площадка" localSheetId="0">#REF!</definedName>
    <definedName name="Временные_здания_площадка" localSheetId="10">#REF!</definedName>
    <definedName name="Временные_здания_площадка" localSheetId="11">#REF!</definedName>
    <definedName name="Временные_здания_площадка" localSheetId="3">#REF!</definedName>
    <definedName name="Временные_здания_площадка">#REF!</definedName>
    <definedName name="Выключатели" comment="Типы силовых выключателей" localSheetId="0">[13]Таблица!$B$467:$B$486</definedName>
    <definedName name="Выключатели" comment="Типы силовых выключателей" localSheetId="1">[13]Таблица!$B$467:$B$486</definedName>
    <definedName name="Выключатели" comment="Типы силовых выключателей" localSheetId="3">[13]Таблица!$B$467:$B$486</definedName>
    <definedName name="Выключатели" comment="Типы силовых выключателей">[14]Таблица!$B$467:$B$486</definedName>
    <definedName name="Год_ввода" localSheetId="0">#REF!</definedName>
    <definedName name="Год_ввода" localSheetId="10">#REF!</definedName>
    <definedName name="Год_ввода" localSheetId="6">#REF!</definedName>
    <definedName name="Год_ввода" localSheetId="11">#REF!</definedName>
    <definedName name="Год_ввода" localSheetId="3">#REF!</definedName>
    <definedName name="Год_ввода">#REF!</definedName>
    <definedName name="Год_освоения" localSheetId="0">#REF!</definedName>
    <definedName name="Год_освоения" localSheetId="10">#REF!</definedName>
    <definedName name="Год_освоения" localSheetId="11">#REF!</definedName>
    <definedName name="Год_освоения" localSheetId="3">#REF!</definedName>
    <definedName name="Год_освоения">#REF!</definedName>
    <definedName name="д" localSheetId="0">#REF!</definedName>
    <definedName name="д" localSheetId="10">#REF!</definedName>
    <definedName name="д" localSheetId="11">#REF!</definedName>
    <definedName name="д" localSheetId="3">#REF!</definedName>
    <definedName name="д">#REF!</definedName>
    <definedName name="да" localSheetId="0">#REF!</definedName>
    <definedName name="да" localSheetId="10">#REF!</definedName>
    <definedName name="да" localSheetId="11">#REF!</definedName>
    <definedName name="да" localSheetId="3">#REF!</definedName>
    <definedName name="да">#REF!</definedName>
    <definedName name="Демонтаж_ВЛ" localSheetId="0">[13]Таблица!$B$150:$B$170</definedName>
    <definedName name="Демонтаж_ВЛ" localSheetId="1">[13]Таблица!$B$150:$B$170</definedName>
    <definedName name="Демонтаж_ВЛ" localSheetId="3">[13]Таблица!$B$150:$B$170</definedName>
    <definedName name="Демонтаж_ВЛ">[14]Таблица!$B$150:$B$170</definedName>
    <definedName name="Демонтаж_ВЛ_0_4_10_кВ_поопорно" localSheetId="0">[13]Таблица!$B$173:$B$180</definedName>
    <definedName name="Демонтаж_ВЛ_0_4_10_кВ_поопорно" localSheetId="1">[13]Таблица!$B$173:$B$180</definedName>
    <definedName name="Демонтаж_ВЛ_0_4_10_кВ_поопорно" localSheetId="3">[13]Таблица!$B$173:$B$180</definedName>
    <definedName name="Демонтаж_ВЛ_0_4_10_кВ_поопорно">[14]Таблица!$B$173:$B$180</definedName>
    <definedName name="Демонтаж_ж_б_опор_ВЛ_35_220_кВ__тыс._руб._за_1_м3" localSheetId="0">[13]Таблица!$B$183:$B$191</definedName>
    <definedName name="Демонтаж_ж_б_опор_ВЛ_35_220_кВ__тыс._руб._за_1_м3" localSheetId="1">[13]Таблица!$B$183:$B$191</definedName>
    <definedName name="Демонтаж_ж_б_опор_ВЛ_35_220_кВ__тыс._руб._за_1_м3" localSheetId="3">[13]Таблица!$B$183:$B$191</definedName>
    <definedName name="Демонтаж_ж_б_опор_ВЛ_35_220_кВ__тыс._руб._за_1_м3">[14]Таблица!$B$183:$B$191</definedName>
    <definedName name="Демонтаж_зданий" localSheetId="0">[13]Таблица!$B$654:$B$667</definedName>
    <definedName name="Демонтаж_зданий" localSheetId="1">[13]Таблица!$B$654:$B$667</definedName>
    <definedName name="Демонтаж_зданий" localSheetId="3">[13]Таблица!$B$654:$B$667</definedName>
    <definedName name="Демонтаж_зданий">[14]Таблица!$B$654:$B$667</definedName>
    <definedName name="Демонтаж_оборудования_ПС" localSheetId="0">[13]Таблица!$B$600:$B$651</definedName>
    <definedName name="Демонтаж_оборудования_ПС" localSheetId="1">[13]Таблица!$B$600:$B$651</definedName>
    <definedName name="Демонтаж_оборудования_ПС" localSheetId="3">[13]Таблица!$B$600:$B$651</definedName>
    <definedName name="Демонтаж_оборудования_ПС">[14]Таблица!$B$600:$B$651</definedName>
    <definedName name="Демонтаж_стальных_опор_ВЛ_35_220_кВ__тыс._руб._за_1_т" localSheetId="0">[13]Таблица!$B$194:$B$202</definedName>
    <definedName name="Демонтаж_стальных_опор_ВЛ_35_220_кВ__тыс._руб._за_1_т" localSheetId="1">[13]Таблица!$B$194:$B$202</definedName>
    <definedName name="Демонтаж_стальных_опор_ВЛ_35_220_кВ__тыс._руб._за_1_т" localSheetId="3">[13]Таблица!$B$194:$B$202</definedName>
    <definedName name="Демонтаж_стальных_опор_ВЛ_35_220_кВ__тыс._руб._за_1_т">[14]Таблица!$B$194:$B$202</definedName>
    <definedName name="дж" localSheetId="0">#REF!</definedName>
    <definedName name="дж" localSheetId="10">#REF!</definedName>
    <definedName name="дж" localSheetId="6">#REF!</definedName>
    <definedName name="дж" localSheetId="11">#REF!</definedName>
    <definedName name="дж" localSheetId="3">#REF!</definedName>
    <definedName name="дж">#REF!</definedName>
    <definedName name="Добровольное_страхование" localSheetId="0">#REF!</definedName>
    <definedName name="Добровольное_страхование" localSheetId="10">#REF!</definedName>
    <definedName name="Добровольное_страхование" localSheetId="11">#REF!</definedName>
    <definedName name="Добровольное_страхование" localSheetId="3">#REF!</definedName>
    <definedName name="Добровольное_страхование">#REF!</definedName>
    <definedName name="Доп.затраты_в_зимнее_время" localSheetId="0">#REF!</definedName>
    <definedName name="Доп.затраты_в_зимнее_время" localSheetId="10">#REF!</definedName>
    <definedName name="Доп.затраты_в_зимнее_время" localSheetId="11">#REF!</definedName>
    <definedName name="Доп.затраты_в_зимнее_время" localSheetId="3">#REF!</definedName>
    <definedName name="Доп.затраты_в_зимнее_время">#REF!</definedName>
    <definedName name="е" localSheetId="0">#REF!</definedName>
    <definedName name="е" localSheetId="10">#REF!</definedName>
    <definedName name="е" localSheetId="11">#REF!</definedName>
    <definedName name="е" localSheetId="3">#REF!</definedName>
    <definedName name="е">#REF!</definedName>
    <definedName name="Ева" localSheetId="0">[16]!dial_koef_udar</definedName>
    <definedName name="Ева" localSheetId="10">[16]!dial_koef_udar</definedName>
    <definedName name="Ева" localSheetId="11">[16]!dial_koef_udar</definedName>
    <definedName name="Ева">[16]!dial_koef_udar</definedName>
    <definedName name="еен">#REF!</definedName>
    <definedName name="ен8">#REF!</definedName>
    <definedName name="ж" localSheetId="0">#REF!</definedName>
    <definedName name="ж" localSheetId="10">#REF!</definedName>
    <definedName name="ж" localSheetId="6">#REF!</definedName>
    <definedName name="ж" localSheetId="11">#REF!</definedName>
    <definedName name="ж" localSheetId="3">#REF!</definedName>
    <definedName name="ж">#REF!</definedName>
    <definedName name="Закрытые_подстанции_в_целом" localSheetId="0">[13]Таблица!$B$397:$B$406</definedName>
    <definedName name="Закрытые_подстанции_в_целом" localSheetId="1">[13]Таблица!$B$397:$B$406</definedName>
    <definedName name="Закрытые_подстанции_в_целом" localSheetId="3">[13]Таблица!$B$397:$B$406</definedName>
    <definedName name="Закрытые_подстанции_в_целом">[14]Таблица!$B$397:$B$406</definedName>
    <definedName name="Затраты_на_вырубку_просеки" localSheetId="0">[13]Таблица!$B$110:$B$113</definedName>
    <definedName name="Затраты_на_вырубку_просеки" localSheetId="1">[13]Таблица!$B$110:$B$113</definedName>
    <definedName name="Затраты_на_вырубку_просеки" localSheetId="3">[13]Таблица!$B$110:$B$113</definedName>
    <definedName name="Затраты_на_вырубку_просеки">[14]Таблица!$B$110:$B$113</definedName>
    <definedName name="Затраты_на_дирекцию" localSheetId="0">#REF!</definedName>
    <definedName name="Затраты_на_дирекцию" localSheetId="10">#REF!</definedName>
    <definedName name="Затраты_на_дирекцию" localSheetId="6">#REF!</definedName>
    <definedName name="Затраты_на_дирекцию" localSheetId="11">#REF!</definedName>
    <definedName name="Затраты_на_дирекцию" localSheetId="3">#REF!</definedName>
    <definedName name="Затраты_на_дирекцию">#REF!</definedName>
    <definedName name="Затраты_на_устройство_лежневых_дорог" localSheetId="0">[13]Таблица!$B$114:$B$123</definedName>
    <definedName name="Затраты_на_устройство_лежневых_дорог" localSheetId="1">[13]Таблица!$B$114:$B$123</definedName>
    <definedName name="Затраты_на_устройство_лежневых_дорог" localSheetId="3">[13]Таблица!$B$114:$B$123</definedName>
    <definedName name="Затраты_на_устройство_лежневых_дорог">[14]Таблица!$B$114:$B$123</definedName>
    <definedName name="земля" localSheetId="0">#REF!</definedName>
    <definedName name="земля" localSheetId="10">#REF!</definedName>
    <definedName name="земля" localSheetId="6">#REF!</definedName>
    <definedName name="земля" localSheetId="11">#REF!</definedName>
    <definedName name="земля" localSheetId="3">#REF!</definedName>
    <definedName name="земля">#REF!</definedName>
    <definedName name="ззщ" localSheetId="0">#REF!</definedName>
    <definedName name="ззщ" localSheetId="10">#REF!</definedName>
    <definedName name="ззщ" localSheetId="11">#REF!</definedName>
    <definedName name="ззщ" localSheetId="3">#REF!</definedName>
    <definedName name="ззщ">#REF!</definedName>
    <definedName name="Зоны" localSheetId="0">[17]индексы!#REF!</definedName>
    <definedName name="Зоны" localSheetId="10">[17]индексы!#REF!</definedName>
    <definedName name="Зоны" localSheetId="11">[17]индексы!#REF!</definedName>
    <definedName name="Зоны" localSheetId="3">[17]индексы!#REF!</definedName>
    <definedName name="Зоны">[17]индексы!#REF!</definedName>
    <definedName name="Из" localSheetId="0">Модуль1.NumTxt</definedName>
    <definedName name="Из" localSheetId="10">Модуль1.NumTxt</definedName>
    <definedName name="Из" localSheetId="6">Модуль1.NumTxt</definedName>
    <definedName name="Из" localSheetId="1">Модуль1.NumTxt</definedName>
    <definedName name="Из" localSheetId="11">Модуль1.NumTxt</definedName>
    <definedName name="Из" localSheetId="12">Модуль1.NumTxt</definedName>
    <definedName name="Из" localSheetId="9">Модуль1.NumTxt</definedName>
    <definedName name="Из" localSheetId="2">Модуль1.NumTxt</definedName>
    <definedName name="Из" localSheetId="3">Модуль1.NumTxt</definedName>
    <definedName name="Из">Модуль1.NumTxt</definedName>
    <definedName name="_xlnm.Extract" localSheetId="0">#REF!</definedName>
    <definedName name="_xlnm.Extract" localSheetId="10">#REF!</definedName>
    <definedName name="_xlnm.Extract" localSheetId="6">#REF!</definedName>
    <definedName name="_xlnm.Extract" localSheetId="1">#REF!</definedName>
    <definedName name="_xlnm.Extract" localSheetId="11">#REF!</definedName>
    <definedName name="_xlnm.Extract" localSheetId="3">#REF!</definedName>
    <definedName name="_xlnm.Extract">#REF!</definedName>
    <definedName name="йй" localSheetId="0">[6]!dial_koef_zap</definedName>
    <definedName name="йй" localSheetId="10">[6]!dial_koef_zap</definedName>
    <definedName name="йй" localSheetId="11">[6]!dial_koef_zap</definedName>
    <definedName name="йй">[6]!dial_koef_zap</definedName>
    <definedName name="иииииии" localSheetId="0">#REF!</definedName>
    <definedName name="иииииии" localSheetId="10">#REF!</definedName>
    <definedName name="иииииии" localSheetId="6">#REF!</definedName>
    <definedName name="иииииии" localSheetId="11">#REF!</definedName>
    <definedName name="иииииии" localSheetId="3">#REF!</definedName>
    <definedName name="иииииии">#REF!</definedName>
    <definedName name="иоделир." localSheetId="0">[18]!dial_mater_udar</definedName>
    <definedName name="иоделир." localSheetId="10">[18]!dial_mater_udar</definedName>
    <definedName name="иоделир." localSheetId="11">[18]!dial_mater_udar</definedName>
    <definedName name="иоделир.">[18]!dial_mater_udar</definedName>
    <definedName name="Исходные_данные" localSheetId="0">#REF!</definedName>
    <definedName name="Исходные_данные" localSheetId="10">#REF!</definedName>
    <definedName name="Исходные_данные" localSheetId="6">#REF!</definedName>
    <definedName name="Исходные_данные" localSheetId="11">#REF!</definedName>
    <definedName name="Исходные_данные" localSheetId="3">#REF!</definedName>
    <definedName name="Исходные_данные">#REF!</definedName>
    <definedName name="к" localSheetId="0">#REF!</definedName>
    <definedName name="к" localSheetId="10">#REF!</definedName>
    <definedName name="к" localSheetId="11">#REF!</definedName>
    <definedName name="к" localSheetId="3">#REF!</definedName>
    <definedName name="к">#REF!</definedName>
    <definedName name="кабель" localSheetId="0">#REF!</definedName>
    <definedName name="кабель" localSheetId="10">#REF!</definedName>
    <definedName name="кабель" localSheetId="11">#REF!</definedName>
    <definedName name="кабель" localSheetId="3">#REF!</definedName>
    <definedName name="кабель">#REF!</definedName>
    <definedName name="Кабельные_линии" localSheetId="0">[13]Таблица!$B$206:$B$331</definedName>
    <definedName name="Кабельные_линии" localSheetId="1">[13]Таблица!$B$206:$B$331</definedName>
    <definedName name="Кабельные_линии" localSheetId="3">[13]Таблица!$B$206:$B$331</definedName>
    <definedName name="Кабельные_линии">[14]Таблица!$B$206:$B$331</definedName>
    <definedName name="Кварталы" localSheetId="0">[17]индексы!#REF!</definedName>
    <definedName name="Кварталы" localSheetId="10">[17]индексы!#REF!</definedName>
    <definedName name="Кварталы" localSheetId="6">[17]индексы!#REF!</definedName>
    <definedName name="Кварталы" localSheetId="1">[17]индексы!#REF!</definedName>
    <definedName name="Кварталы" localSheetId="11">[17]индексы!#REF!</definedName>
    <definedName name="Кварталы" localSheetId="3">[17]индексы!#REF!</definedName>
    <definedName name="Кварталы">[17]индексы!#REF!</definedName>
    <definedName name="кк" localSheetId="0">[6]!Rashod_dolot_zap</definedName>
    <definedName name="кк" localSheetId="10">[6]!Rashod_dolot_zap</definedName>
    <definedName name="кк" localSheetId="11">[6]!Rashod_dolot_zap</definedName>
    <definedName name="кк">[6]!Rashod_dolot_zap</definedName>
    <definedName name="ккроь">#REF!</definedName>
    <definedName name="КЛ" localSheetId="0">[19]Справка!$A$3:$A$31</definedName>
    <definedName name="КЛ" localSheetId="1">[19]Справка!$A$3:$A$31</definedName>
    <definedName name="КЛ" localSheetId="3">[19]Справка!$A$3:$A$31</definedName>
    <definedName name="КЛ">[20]Справка!$A$3:$A$31</definedName>
    <definedName name="Кл4">[17]классификаторы!$D$2:$D$12</definedName>
    <definedName name="Кл5">[17]классификаторы!$F$2:$F$3</definedName>
    <definedName name="Компенсаторы" localSheetId="0">[13]Таблица!$B$532:$B$547</definedName>
    <definedName name="Компенсаторы" localSheetId="1">[13]Таблица!$B$532:$B$547</definedName>
    <definedName name="Компенсаторы" localSheetId="3">[13]Таблица!$B$532:$B$547</definedName>
    <definedName name="Компенсаторы">[14]Таблица!$B$532:$B$547</definedName>
    <definedName name="Комплектные_трансформаторные_устройства" localSheetId="0">[13]Таблица!$B$133:$B$147</definedName>
    <definedName name="Комплектные_трансформаторные_устройства" localSheetId="1">[13]Таблица!$B$133:$B$147</definedName>
    <definedName name="Комплектные_трансформаторные_устройства" localSheetId="3">[13]Таблица!$B$133:$B$147</definedName>
    <definedName name="Комплектные_трансформаторные_устройства">[14]Таблица!$B$133:$B$147</definedName>
    <definedName name="коф" localSheetId="0">[21]!dial_koef_udar</definedName>
    <definedName name="коф" localSheetId="10">[21]!dial_koef_udar</definedName>
    <definedName name="коф" localSheetId="11">[21]!dial_koef_udar</definedName>
    <definedName name="коф">[21]!dial_koef_udar</definedName>
    <definedName name="коэф" localSheetId="0">#REF!</definedName>
    <definedName name="коэф" localSheetId="10">#REF!</definedName>
    <definedName name="коэф" localSheetId="6">#REF!</definedName>
    <definedName name="коэф" localSheetId="1">#REF!</definedName>
    <definedName name="коэф" localSheetId="11">#REF!</definedName>
    <definedName name="коэф" localSheetId="3">#REF!</definedName>
    <definedName name="коэф">#REF!</definedName>
    <definedName name="Коэфф" localSheetId="0">#REF!</definedName>
    <definedName name="Коэфф" localSheetId="10">#REF!</definedName>
    <definedName name="Коэфф" localSheetId="11">#REF!</definedName>
    <definedName name="Коэфф" localSheetId="3">#REF!</definedName>
    <definedName name="Коэфф">#REF!</definedName>
    <definedName name="КТП">[22]объемы!$V$4:$V$29</definedName>
    <definedName name="лдл45жд">#REF!</definedName>
    <definedName name="линия" localSheetId="0">#REF!</definedName>
    <definedName name="линия" localSheetId="10">#REF!</definedName>
    <definedName name="линия" localSheetId="6">#REF!</definedName>
    <definedName name="линия" localSheetId="11">#REF!</definedName>
    <definedName name="линия" localSheetId="3">#REF!</definedName>
    <definedName name="линия">#REF!</definedName>
    <definedName name="Лист3" localSheetId="0">#REF!</definedName>
    <definedName name="Лист3" localSheetId="10">#REF!</definedName>
    <definedName name="Лист3" localSheetId="1">#REF!</definedName>
    <definedName name="Лист3" localSheetId="11">#REF!</definedName>
    <definedName name="Лист3" localSheetId="3">#REF!</definedName>
    <definedName name="Лист3">#REF!</definedName>
    <definedName name="ллллл" localSheetId="0">#REF!</definedName>
    <definedName name="ллллл" localSheetId="10">#REF!</definedName>
    <definedName name="ллллл" localSheetId="11">#REF!</definedName>
    <definedName name="ллллл" localSheetId="3">#REF!</definedName>
    <definedName name="ллллл">#REF!</definedName>
    <definedName name="лололол">#REF!</definedName>
    <definedName name="медленно" localSheetId="0">Модуль1.NumTxt</definedName>
    <definedName name="медленно" localSheetId="10">Модуль1.NumTxt</definedName>
    <definedName name="медленно" localSheetId="6">Модуль1.NumTxt</definedName>
    <definedName name="медленно" localSheetId="1">Модуль1.NumTxt</definedName>
    <definedName name="медленно" localSheetId="11">Модуль1.NumTxt</definedName>
    <definedName name="медленно" localSheetId="12">Модуль1.NumTxt</definedName>
    <definedName name="медленно" localSheetId="9">Модуль1.NumTxt</definedName>
    <definedName name="медленно" localSheetId="2">Модуль1.NumTxt</definedName>
    <definedName name="медленно" localSheetId="3">Модуль1.NumTxt</definedName>
    <definedName name="медленно">Модуль1.NumTxt</definedName>
    <definedName name="моделир." localSheetId="0">[23]!dial_mater</definedName>
    <definedName name="моделир." localSheetId="10">[23]!dial_mater</definedName>
    <definedName name="моделир." localSheetId="11">[23]!dial_mater</definedName>
    <definedName name="моделир.">[23]!dial_mater</definedName>
    <definedName name="мпорп">#REF!</definedName>
    <definedName name="Мытищи" localSheetId="0">[24]!dial_mater_udar</definedName>
    <definedName name="Мытищи" localSheetId="10">[24]!dial_mater_udar</definedName>
    <definedName name="Мытищи" localSheetId="11">[24]!dial_mater_udar</definedName>
    <definedName name="Мытищи">[24]!dial_mater_udar</definedName>
    <definedName name="н" localSheetId="0">Модуль1.NumTxt</definedName>
    <definedName name="н" localSheetId="10">Модуль1.NumTxt</definedName>
    <definedName name="н" localSheetId="6">Модуль1.NumTxt</definedName>
    <definedName name="н" localSheetId="1">Модуль1.NumTxt</definedName>
    <definedName name="н" localSheetId="11">Модуль1.NumTxt</definedName>
    <definedName name="н" localSheetId="12">Модуль1.NumTxt</definedName>
    <definedName name="н" localSheetId="9">Модуль1.NumTxt</definedName>
    <definedName name="н" localSheetId="2">Модуль1.NumTxt</definedName>
    <definedName name="н" localSheetId="3">Модуль1.NumTxt</definedName>
    <definedName name="н">Модуль1.NumTxt</definedName>
    <definedName name="Название_сметы">[25]Смета180!$A$8</definedName>
    <definedName name="Налог_на_добавленную_стоимость" localSheetId="0">#REF!</definedName>
    <definedName name="Налог_на_добавленную_стоимость" localSheetId="10">#REF!</definedName>
    <definedName name="Налог_на_добавленную_стоимость" localSheetId="6">#REF!</definedName>
    <definedName name="Налог_на_добавленную_стоимость" localSheetId="11">#REF!</definedName>
    <definedName name="Налог_на_добавленную_стоимость" localSheetId="3">#REF!</definedName>
    <definedName name="Налог_на_добавленную_стоимость">#REF!</definedName>
    <definedName name="Налог_на_пользавтелей_автдорог" localSheetId="0">#REF!</definedName>
    <definedName name="Налог_на_пользавтелей_автдорог" localSheetId="10">#REF!</definedName>
    <definedName name="Налог_на_пользавтелей_автдорог" localSheetId="11">#REF!</definedName>
    <definedName name="Налог_на_пользавтелей_автдорог" localSheetId="3">#REF!</definedName>
    <definedName name="Налог_на_пользавтелей_автдорог">#REF!</definedName>
    <definedName name="насос" localSheetId="0">[21]!dial_koef_udar</definedName>
    <definedName name="насос" localSheetId="10">[21]!dial_koef_udar</definedName>
    <definedName name="насос" localSheetId="11">[21]!dial_koef_udar</definedName>
    <definedName name="насос">[21]!dial_koef_udar</definedName>
    <definedName name="Непредвиденные_расходы" localSheetId="0">#REF!</definedName>
    <definedName name="Непредвиденные_расходы" localSheetId="10">#REF!</definedName>
    <definedName name="Непредвиденные_расходы" localSheetId="6">#REF!</definedName>
    <definedName name="Непредвиденные_расходы" localSheetId="11">#REF!</definedName>
    <definedName name="Непредвиденные_расходы" localSheetId="3">#REF!</definedName>
    <definedName name="Непредвиденные_расходы">#REF!</definedName>
    <definedName name="нНЕФТЕЮГ" localSheetId="0">Модуль1.NumTxt</definedName>
    <definedName name="нНЕФТЕЮГ" localSheetId="10">Модуль1.NumTxt</definedName>
    <definedName name="нНЕФТЕЮГ" localSheetId="6">Модуль1.NumTxt</definedName>
    <definedName name="нНЕФТЕЮГ" localSheetId="1">Модуль1.NumTxt</definedName>
    <definedName name="нНЕФТЕЮГ" localSheetId="11">Модуль1.NumTxt</definedName>
    <definedName name="нНЕФТЕЮГ" localSheetId="12">Модуль1.NumTxt</definedName>
    <definedName name="нНЕФТЕЮГ" localSheetId="9">Модуль1.NumTxt</definedName>
    <definedName name="нНЕФТЕЮГ" localSheetId="2">Модуль1.NumTxt</definedName>
    <definedName name="нНЕФТЕЮГ" localSheetId="3">Модуль1.NumTxt</definedName>
    <definedName name="нНЕФТЕЮГ">Модуль1.NumTxt</definedName>
    <definedName name="нов" localSheetId="0">#REF!</definedName>
    <definedName name="нов" localSheetId="10">#REF!</definedName>
    <definedName name="нов" localSheetId="6">#REF!</definedName>
    <definedName name="нов" localSheetId="11">#REF!</definedName>
    <definedName name="нов" localSheetId="3">#REF!</definedName>
    <definedName name="нов">#REF!</definedName>
    <definedName name="Номер_расчета" localSheetId="0">#REF!</definedName>
    <definedName name="Номер_расчета" localSheetId="10">#REF!</definedName>
    <definedName name="Номер_расчета" localSheetId="11">#REF!</definedName>
    <definedName name="Номер_расчета" localSheetId="3">#REF!</definedName>
    <definedName name="Номер_расчета">#REF!</definedName>
    <definedName name="Нормативная_база" localSheetId="0">#REF!</definedName>
    <definedName name="Нормативная_база" localSheetId="10">#REF!</definedName>
    <definedName name="Нормативная_база" localSheetId="11">#REF!</definedName>
    <definedName name="Нормативная_база" localSheetId="3">#REF!</definedName>
    <definedName name="Нормативная_база">#REF!</definedName>
    <definedName name="Нормативно_сметная_база" localSheetId="0">#REF!</definedName>
    <definedName name="Нормативно_сметная_база" localSheetId="10">#REF!</definedName>
    <definedName name="Нормативно_сметная_база" localSheetId="11">#REF!</definedName>
    <definedName name="Нормативно_сметная_база" localSheetId="3">#REF!</definedName>
    <definedName name="Нормативно_сметная_база">#REF!</definedName>
    <definedName name="о" localSheetId="0">#REF!</definedName>
    <definedName name="о" localSheetId="10">#REF!</definedName>
    <definedName name="о" localSheetId="11">#REF!</definedName>
    <definedName name="о" localSheetId="3">#REF!</definedName>
    <definedName name="о">#REF!</definedName>
    <definedName name="_xlnm.Print_Area" localSheetId="0">межевание!$A$1:$E$37</definedName>
    <definedName name="_xlnm.Print_Area" localSheetId="10">'ПИР КЛ 10кВ  2,97км'!$A$1:$O$53</definedName>
    <definedName name="_xlnm.Print_Area" localSheetId="6">#REF!</definedName>
    <definedName name="_xlnm.Print_Area" localSheetId="1">'планировка территории'!$A$1:$E$37</definedName>
    <definedName name="_xlnm.Print_Area" localSheetId="11">'смр КЛ 10кВ'!$A$2:$I$52</definedName>
    <definedName name="_xlnm.Print_Area" localSheetId="4">'топографКЛ-10 2,97км'!$A$1:$G$34</definedName>
    <definedName name="_xlnm.Print_Area" localSheetId="3">Эколог!$A$1:$G$52</definedName>
    <definedName name="_xlnm.Print_Area">#REF!</definedName>
    <definedName name="олол" localSheetId="0">#REF!</definedName>
    <definedName name="олол" localSheetId="10">#REF!</definedName>
    <definedName name="олол" localSheetId="11">#REF!</definedName>
    <definedName name="олол" localSheetId="3">#REF!</definedName>
    <definedName name="олол">#REF!</definedName>
    <definedName name="ОРУ_по_блочным_и_мостиковым_схемам" localSheetId="0">[13]Таблица!$B$453:$B$464</definedName>
    <definedName name="ОРУ_по_блочным_и_мостиковым_схемам" localSheetId="1">[13]Таблица!$B$453:$B$464</definedName>
    <definedName name="ОРУ_по_блочным_и_мостиковым_схемам" localSheetId="3">[13]Таблица!$B$453:$B$464</definedName>
    <definedName name="ОРУ_по_блочным_и_мостиковым_схемам">[14]Таблица!$B$453:$B$464</definedName>
    <definedName name="Отвод_земель_ПС_20" localSheetId="0">[13]Таблица!$B$670:$B$676</definedName>
    <definedName name="Отвод_земель_ПС_20" localSheetId="1">[13]Таблица!$B$670:$B$676</definedName>
    <definedName name="Отвод_земель_ПС_20" localSheetId="3">[13]Таблица!$B$670:$B$676</definedName>
    <definedName name="Отвод_земель_ПС_20">[14]Таблица!$B$670:$B$676</definedName>
    <definedName name="Отвод_земель_ПС_35_220" localSheetId="0">[13]Таблица!$B$679:$B$696</definedName>
    <definedName name="Отвод_земель_ПС_35_220" localSheetId="1">[13]Таблица!$B$679:$B$696</definedName>
    <definedName name="Отвод_земель_ПС_35_220" localSheetId="3">[13]Таблица!$B$679:$B$696</definedName>
    <definedName name="Отвод_земель_ПС_35_220">[14]Таблица!$B$679:$B$696</definedName>
    <definedName name="Открытые_подстанции_35_220_кВ_в_целом__элегазовое_и_зарубежное_оборудование" localSheetId="0">[13]Таблица!$B$376:$B$394</definedName>
    <definedName name="Открытые_подстанции_35_220_кВ_в_целом__элегазовое_и_зарубежное_оборудование" localSheetId="1">[13]Таблица!$B$376:$B$394</definedName>
    <definedName name="Открытые_подстанции_35_220_кВ_в_целом__элегазовое_и_зарубежное_оборудование" localSheetId="3">[13]Таблица!$B$376:$B$394</definedName>
    <definedName name="Открытые_подстанции_35_220_кВ_в_целом__элегазовое_и_зарубежное_оборудование">[14]Таблица!$B$376:$B$394</definedName>
    <definedName name="Открытые_подстанции_в_целом" localSheetId="0">[13]Таблица!$B$355:$B$373</definedName>
    <definedName name="Открытые_подстанции_в_целом" localSheetId="1">[13]Таблица!$B$355:$B$373</definedName>
    <definedName name="Открытые_подстанции_в_целом" localSheetId="3">[13]Таблица!$B$355:$B$373</definedName>
    <definedName name="Открытые_подстанции_в_целом">[14]Таблица!$B$355:$B$373</definedName>
    <definedName name="оц.зап." localSheetId="0">[26]!dial_koef_udar</definedName>
    <definedName name="оц.зап." localSheetId="10">[26]!dial_koef_udar</definedName>
    <definedName name="оц.зап." localSheetId="11">[26]!dial_koef_udar</definedName>
    <definedName name="оц.зап.">[26]!dial_koef_udar</definedName>
    <definedName name="п" localSheetId="0">#REF!</definedName>
    <definedName name="п" localSheetId="10">#REF!</definedName>
    <definedName name="п" localSheetId="6">#REF!</definedName>
    <definedName name="п" localSheetId="11">#REF!</definedName>
    <definedName name="п" localSheetId="3">#REF!</definedName>
    <definedName name="п">#REF!</definedName>
    <definedName name="па" localSheetId="0">Модуль1.NumTxt</definedName>
    <definedName name="па" localSheetId="10">Модуль1.NumTxt</definedName>
    <definedName name="па" localSheetId="6">Модуль1.NumTxt</definedName>
    <definedName name="па" localSheetId="1">Модуль1.NumTxt</definedName>
    <definedName name="па" localSheetId="11">Модуль1.NumTxt</definedName>
    <definedName name="па" localSheetId="12">Модуль1.NumTxt</definedName>
    <definedName name="па" localSheetId="9">Модуль1.NumTxt</definedName>
    <definedName name="па" localSheetId="2">Модуль1.NumTxt</definedName>
    <definedName name="па" localSheetId="3">Модуль1.NumTxt</definedName>
    <definedName name="па">Модуль1.NumTxt</definedName>
    <definedName name="пааааааар" localSheetId="0">#REF!</definedName>
    <definedName name="пааааааар">#REF!</definedName>
    <definedName name="пае">#REF!</definedName>
    <definedName name="паспорт" localSheetId="0">[27]!dial_mater_udar</definedName>
    <definedName name="паспорт" localSheetId="10">[27]!dial_mater_udar</definedName>
    <definedName name="паспорт" localSheetId="11">[27]!dial_mater_udar</definedName>
    <definedName name="паспорт">[27]!dial_mater_udar</definedName>
    <definedName name="пир" localSheetId="0">#REF!</definedName>
    <definedName name="ПИР" localSheetId="10">#REF!</definedName>
    <definedName name="пир" localSheetId="6">#REF!</definedName>
    <definedName name="пир" localSheetId="11">#REF!</definedName>
    <definedName name="пир" localSheetId="3">#REF!</definedName>
    <definedName name="пир">#REF!</definedName>
    <definedName name="ПИР4" localSheetId="0">#REF!</definedName>
    <definedName name="ПИР4" localSheetId="10">#REF!</definedName>
    <definedName name="ПИР4" localSheetId="11">#REF!</definedName>
    <definedName name="ПИР4" localSheetId="3">#REF!</definedName>
    <definedName name="ПИР4">#REF!</definedName>
    <definedName name="ПИР5" localSheetId="0">#REF!</definedName>
    <definedName name="ПИР5" localSheetId="10">#REF!</definedName>
    <definedName name="ПИР5" localSheetId="11">#REF!</definedName>
    <definedName name="ПИР5" localSheetId="3">#REF!</definedName>
    <definedName name="ПИР5">#REF!</definedName>
    <definedName name="Под_напр_ВЛ" localSheetId="0">[13]Таблица!$O$30</definedName>
    <definedName name="Под_напр_ВЛ" localSheetId="1">[13]Таблица!$O$30</definedName>
    <definedName name="Под_напр_ВЛ" localSheetId="3">[13]Таблица!$O$30</definedName>
    <definedName name="Под_напр_ВЛ">[14]Таблица!$O$30</definedName>
    <definedName name="Под_напр_КЛ" localSheetId="0">[13]Таблица!$P$30</definedName>
    <definedName name="Под_напр_КЛ" localSheetId="1">[13]Таблица!$P$30</definedName>
    <definedName name="Под_напр_КЛ" localSheetId="3">[13]Таблица!$P$30</definedName>
    <definedName name="Под_напр_КЛ">[14]Таблица!$P$30</definedName>
    <definedName name="Подвеска_ВОЛС_на_существующих_опорах" localSheetId="0">[13]Таблица!$B$126:$B$130</definedName>
    <definedName name="Подвеска_ВОЛС_на_существующих_опорах" localSheetId="1">[13]Таблица!$B$126:$B$130</definedName>
    <definedName name="Подвеска_ВОЛС_на_существующих_опорах" localSheetId="3">[13]Таблица!$B$126:$B$130</definedName>
    <definedName name="Подвеска_ВОЛС_на_существующих_опорах">[14]Таблица!$B$126:$B$130</definedName>
    <definedName name="Пожарная_охрана" localSheetId="0">#REF!</definedName>
    <definedName name="Пожарная_охрана" localSheetId="10">#REF!</definedName>
    <definedName name="Пожарная_охрана" localSheetId="6">#REF!</definedName>
    <definedName name="Пожарная_охрана" localSheetId="11">#REF!</definedName>
    <definedName name="Пожарная_охрана" localSheetId="3">#REF!</definedName>
    <definedName name="Пожарная_охрана">#REF!</definedName>
    <definedName name="поппролшщ">#REF!</definedName>
    <definedName name="Постоянная_часть_закрытых_ПС" localSheetId="0">[13]Таблица!$B$433:$B$438</definedName>
    <definedName name="Постоянная_часть_закрытых_ПС" localSheetId="1">[13]Таблица!$B$433:$B$438</definedName>
    <definedName name="Постоянная_часть_закрытых_ПС" localSheetId="3">[13]Таблица!$B$433:$B$438</definedName>
    <definedName name="Постоянная_часть_закрытых_ПС">[14]Таблица!$B$433:$B$438</definedName>
    <definedName name="Постоянная_часть_открытых_ПС" localSheetId="0">[13]Таблица!$B$421:$B$430</definedName>
    <definedName name="Постоянная_часть_открытых_ПС" localSheetId="1">[13]Таблица!$B$421:$B$430</definedName>
    <definedName name="Постоянная_часть_открытых_ПС" localSheetId="3">[13]Таблица!$B$421:$B$430</definedName>
    <definedName name="Постоянная_часть_открытых_ПС">[14]Таблица!$B$421:$B$430</definedName>
    <definedName name="Постоянный_отвод_земель_ВЛ" localSheetId="0">[13]Таблица!$B$89:$B$107</definedName>
    <definedName name="Постоянный_отвод_земель_ВЛ" localSheetId="1">[13]Таблица!$B$89:$B$107</definedName>
    <definedName name="Постоянный_отвод_земель_ВЛ" localSheetId="3">[13]Таблица!$B$89:$B$107</definedName>
    <definedName name="Постоянный_отвод_земель_ВЛ">[14]Таблица!$B$89:$B$107</definedName>
    <definedName name="пппппп" localSheetId="0">#REF!</definedName>
    <definedName name="пппппп" localSheetId="10">#REF!</definedName>
    <definedName name="пппппп" localSheetId="6">#REF!</definedName>
    <definedName name="пппппп" localSheetId="11">#REF!</definedName>
    <definedName name="пппппп" localSheetId="3">#REF!</definedName>
    <definedName name="пппппп">#REF!</definedName>
    <definedName name="пр" localSheetId="0">#REF!</definedName>
    <definedName name="пр" localSheetId="10">#REF!</definedName>
    <definedName name="пр" localSheetId="1">#REF!</definedName>
    <definedName name="пр" localSheetId="11">#REF!</definedName>
    <definedName name="пр" localSheetId="3">#REF!</definedName>
    <definedName name="пр">#REF!</definedName>
    <definedName name="Пр_Ягур" localSheetId="0">Модуль1.NumTxt</definedName>
    <definedName name="Пр_Ягур" localSheetId="10">Модуль1.NumTxt</definedName>
    <definedName name="Пр_Ягур" localSheetId="6">Модуль1.NumTxt</definedName>
    <definedName name="Пр_Ягур" localSheetId="1">Модуль1.NumTxt</definedName>
    <definedName name="Пр_Ягур" localSheetId="11">Модуль1.NumTxt</definedName>
    <definedName name="Пр_Ягур" localSheetId="12">Модуль1.NumTxt</definedName>
    <definedName name="Пр_Ягур" localSheetId="9">Модуль1.NumTxt</definedName>
    <definedName name="Пр_Ягур" localSheetId="2">Модуль1.NumTxt</definedName>
    <definedName name="Пр_Ягур" localSheetId="3">Модуль1.NumTxt</definedName>
    <definedName name="Пр_Ягур">Модуль1.NumTxt</definedName>
    <definedName name="Премирование" localSheetId="0">#REF!</definedName>
    <definedName name="Премирование" localSheetId="10">#REF!</definedName>
    <definedName name="Премирование" localSheetId="6">#REF!</definedName>
    <definedName name="Премирование" localSheetId="11">#REF!</definedName>
    <definedName name="Премирование" localSheetId="3">#REF!</definedName>
    <definedName name="Премирование">#REF!</definedName>
    <definedName name="про" localSheetId="0">#REF!</definedName>
    <definedName name="про" localSheetId="10">#REF!</definedName>
    <definedName name="про" localSheetId="11">#REF!</definedName>
    <definedName name="про" localSheetId="3">#REF!</definedName>
    <definedName name="про">#REF!</definedName>
    <definedName name="прое" localSheetId="10">#REF!</definedName>
    <definedName name="прое" localSheetId="11">#REF!</definedName>
    <definedName name="прое">#REF!</definedName>
    <definedName name="Проектные" localSheetId="0">#REF!</definedName>
    <definedName name="Проектные" localSheetId="10">#REF!</definedName>
    <definedName name="Проектные" localSheetId="11">#REF!</definedName>
    <definedName name="Проектные" localSheetId="3">#REF!</definedName>
    <definedName name="Проектные">#REF!</definedName>
    <definedName name="Прокладка_ВОЛС_в_траншее" localSheetId="0">[13]Таблица!$B$349:$B$351</definedName>
    <definedName name="Прокладка_ВОЛС_в_траншее" localSheetId="1">[13]Таблица!$B$349:$B$351</definedName>
    <definedName name="Прокладка_ВОЛС_в_траншее" localSheetId="3">[13]Таблица!$B$349:$B$351</definedName>
    <definedName name="Прокладка_ВОЛС_в_траншее">[14]Таблица!$B$349:$B$351</definedName>
    <definedName name="Промежуточный_коэфф._К1" localSheetId="0">#REF!</definedName>
    <definedName name="Промежуточный_коэфф._К1" localSheetId="10">#REF!</definedName>
    <definedName name="Промежуточный_коэфф._К1" localSheetId="6">#REF!</definedName>
    <definedName name="Промежуточный_коэфф._К1" localSheetId="11">#REF!</definedName>
    <definedName name="Промежуточный_коэфф._К1" localSheetId="3">#REF!</definedName>
    <definedName name="Промежуточный_коэфф._К1">#REF!</definedName>
    <definedName name="Промежуточный_коэфф._К2" localSheetId="0">#REF!</definedName>
    <definedName name="Промежуточный_коэфф._К2" localSheetId="10">#REF!</definedName>
    <definedName name="Промежуточный_коэфф._К2" localSheetId="11">#REF!</definedName>
    <definedName name="Промежуточный_коэфф._К2" localSheetId="3">#REF!</definedName>
    <definedName name="Промежуточный_коэфф._К2">#REF!</definedName>
    <definedName name="Противоаварийная_автоматика_ПС" localSheetId="0">[13]Таблица!$B$441:$B$450</definedName>
    <definedName name="Противоаварийная_автоматика_ПС" localSheetId="1">[13]Таблица!$B$441:$B$450</definedName>
    <definedName name="Противоаварийная_автоматика_ПС" localSheetId="3">[13]Таблица!$B$441:$B$450</definedName>
    <definedName name="Противоаварийная_автоматика_ПС">[14]Таблица!$B$441:$B$450</definedName>
    <definedName name="прро">#REF!</definedName>
    <definedName name="р" localSheetId="0">#REF!</definedName>
    <definedName name="р" localSheetId="10">#REF!</definedName>
    <definedName name="р" localSheetId="6">#REF!</definedName>
    <definedName name="р" localSheetId="11">#REF!</definedName>
    <definedName name="р" localSheetId="3">#REF!</definedName>
    <definedName name="р">#REF!</definedName>
    <definedName name="работки" localSheetId="0">[28]справочник!$A$2:$A$35</definedName>
    <definedName name="работки" localSheetId="10">[29]справочник!$A$2:$A$35</definedName>
    <definedName name="работки" localSheetId="1">[28]справочник!$A$2:$A$35</definedName>
    <definedName name="работки" localSheetId="3">[28]справочник!$A$2:$A$35</definedName>
    <definedName name="работки">[30]справочник!$A$2:$A$35</definedName>
    <definedName name="работки1" localSheetId="0">#REF!</definedName>
    <definedName name="работки1" localSheetId="10">#REF!</definedName>
    <definedName name="работки1" localSheetId="6">#REF!</definedName>
    <definedName name="работки1" localSheetId="11">#REF!</definedName>
    <definedName name="работки1" localSheetId="3">#REF!</definedName>
    <definedName name="работки1">#REF!</definedName>
    <definedName name="работы" localSheetId="0">[31]справочник_новый!$A$2:$A$56</definedName>
    <definedName name="работы" localSheetId="1">[31]справочник_новый!$A$2:$A$56</definedName>
    <definedName name="работы" localSheetId="3">[31]справочник_новый!$A$2:$A$56</definedName>
    <definedName name="работы">[32]справочник_новый!$A$2:$A$56</definedName>
    <definedName name="работы_1.2015" localSheetId="0">#REF!</definedName>
    <definedName name="работы_1.2015" localSheetId="10">#REF!</definedName>
    <definedName name="работы_1.2015" localSheetId="6">#REF!</definedName>
    <definedName name="работы_1.2015" localSheetId="11">#REF!</definedName>
    <definedName name="работы_1.2015" localSheetId="3">#REF!</definedName>
    <definedName name="работы_1.2015">#REF!</definedName>
    <definedName name="работы_3" localSheetId="0">#REF!</definedName>
    <definedName name="работы_3" localSheetId="10">#REF!</definedName>
    <definedName name="работы_3" localSheetId="11">#REF!</definedName>
    <definedName name="работы_3" localSheetId="3">#REF!</definedName>
    <definedName name="работы_3">#REF!</definedName>
    <definedName name="Работы2" localSheetId="0">[33]справочник_новый!$A$2:$A$70</definedName>
    <definedName name="Работы2" localSheetId="1">[33]справочник_новый!$A$2:$A$70</definedName>
    <definedName name="Работы2" localSheetId="3">[33]справочник_новый!$A$2:$A$70</definedName>
    <definedName name="Работы2">[34]справочник_новый!$A$2:$A$70</definedName>
    <definedName name="расчет" localSheetId="0">[35]!dialog_montag_show</definedName>
    <definedName name="расчет" localSheetId="10">[35]!dialog_montag_show</definedName>
    <definedName name="расчет" localSheetId="11">[35]!dialog_montag_show</definedName>
    <definedName name="расчет">[35]!dialog_montag_show</definedName>
    <definedName name="Расчет_реконструкции" localSheetId="0">[13]Таблица!$M$7:$M$8</definedName>
    <definedName name="Расчет_реконструкции" localSheetId="1">[13]Таблица!$M$7:$M$8</definedName>
    <definedName name="Расчет_реконструкции" localSheetId="3">[13]Таблица!$M$7:$M$8</definedName>
    <definedName name="Расчет_реконструкции">[14]Таблица!$M$7:$M$8</definedName>
    <definedName name="Расширение_ПС" localSheetId="0">[13]Таблица!$M$9:$M$10</definedName>
    <definedName name="Расширение_ПС" localSheetId="1">[13]Таблица!$M$9:$M$10</definedName>
    <definedName name="Расширение_ПС" localSheetId="3">[13]Таблица!$M$9:$M$10</definedName>
    <definedName name="Расширение_ПС">[14]Таблица!$M$9:$M$10</definedName>
    <definedName name="рг">#REF!</definedName>
    <definedName name="Реакторы" localSheetId="0">[13]Таблица!$B$550:$B$597</definedName>
    <definedName name="Реакторы" localSheetId="1">[13]Таблица!$B$550:$B$597</definedName>
    <definedName name="Реакторы" localSheetId="3">[13]Таблица!$B$550:$B$597</definedName>
    <definedName name="Реакторы">[14]Таблица!$B$550:$B$597</definedName>
    <definedName name="Регионы" comment="Наименования регионов РФ" localSheetId="0">[17]индексы!#REF!</definedName>
    <definedName name="Регионы" comment="Наименования регионов РФ" localSheetId="10">[17]индексы!#REF!</definedName>
    <definedName name="Регионы" comment="Наименования регионов РФ" localSheetId="6">[17]индексы!#REF!</definedName>
    <definedName name="Регионы" comment="Наименования регионов РФ" localSheetId="1">[17]индексы!#REF!</definedName>
    <definedName name="Регионы" comment="Наименования регионов РФ" localSheetId="11">[17]индексы!#REF!</definedName>
    <definedName name="Регионы" comment="Наименования регионов РФ" localSheetId="3">[17]индексы!#REF!</definedName>
    <definedName name="Регионы" comment="Наименования регионов РФ">[17]индексы!#REF!</definedName>
    <definedName name="Регионы_таблица" localSheetId="0">[17]индексы!#REF!</definedName>
    <definedName name="Регионы_таблица" localSheetId="10">[17]индексы!#REF!</definedName>
    <definedName name="Регионы_таблица" localSheetId="11">[17]индексы!#REF!</definedName>
    <definedName name="Регионы_таблица" localSheetId="3">[17]индексы!#REF!</definedName>
    <definedName name="Регионы_таблица">[17]индексы!#REF!</definedName>
    <definedName name="реконструкция" localSheetId="0">#REF!</definedName>
    <definedName name="реконструкция" localSheetId="10">#REF!</definedName>
    <definedName name="реконструкция" localSheetId="6">#REF!</definedName>
    <definedName name="реконструкция" localSheetId="11">#REF!</definedName>
    <definedName name="реконструкция" localSheetId="3">#REF!</definedName>
    <definedName name="реконструкция">#REF!</definedName>
    <definedName name="РЗАПС" localSheetId="0">[36]Справка!$L$3:$L$8</definedName>
    <definedName name="РЗАПС" localSheetId="1">[36]Справка!$L$3:$L$8</definedName>
    <definedName name="РЗАПС" localSheetId="3">[36]Справка!$L$3:$L$8</definedName>
    <definedName name="РЗАПС">[37]Справка!$L$3:$L$8</definedName>
    <definedName name="роорррррррррррррррр">#REF!</definedName>
    <definedName name="рыбинск" localSheetId="0">#REF!</definedName>
    <definedName name="рыбинск" localSheetId="10">#REF!</definedName>
    <definedName name="рыбинск" localSheetId="6">#REF!</definedName>
    <definedName name="рыбинск" localSheetId="11">#REF!</definedName>
    <definedName name="рыбинск" localSheetId="3">#REF!</definedName>
    <definedName name="рыбинск">#REF!</definedName>
    <definedName name="СводникКТП" localSheetId="0">#REF!</definedName>
    <definedName name="СводникКТП" localSheetId="10">#REF!</definedName>
    <definedName name="СводникКТП" localSheetId="11">#REF!</definedName>
    <definedName name="СводникКТП" localSheetId="3">#REF!</definedName>
    <definedName name="СводникКТП">#REF!</definedName>
    <definedName name="Сейсмика_зданий" localSheetId="0">[13]Таблица!$R$26:$R$28</definedName>
    <definedName name="Сейсмика_зданий" localSheetId="1">[13]Таблица!$R$26:$R$28</definedName>
    <definedName name="Сейсмика_зданий" localSheetId="3">[13]Таблица!$R$26:$R$28</definedName>
    <definedName name="Сейсмика_зданий">[14]Таблица!$R$26:$R$28</definedName>
    <definedName name="Сейсмика_линий" localSheetId="0">[13]Таблица!$O$26:$O$28</definedName>
    <definedName name="Сейсмика_линий" localSheetId="1">[13]Таблица!$O$26:$O$28</definedName>
    <definedName name="Сейсмика_линий" localSheetId="3">[13]Таблица!$O$26:$O$28</definedName>
    <definedName name="Сейсмика_линий">[14]Таблица!$O$26:$O$28</definedName>
    <definedName name="СКО" localSheetId="0">[38]!dial_koef_udar</definedName>
    <definedName name="СКО" localSheetId="10">[38]!dial_koef_udar</definedName>
    <definedName name="СКО" localSheetId="11">[38]!dial_koef_udar</definedName>
    <definedName name="СКО">[38]!dial_koef_udar</definedName>
    <definedName name="Смета" localSheetId="0">#REF!</definedName>
    <definedName name="Смета" localSheetId="10">#REF!</definedName>
    <definedName name="Смета" localSheetId="6">#REF!</definedName>
    <definedName name="Смета" localSheetId="11">#REF!</definedName>
    <definedName name="Смета" localSheetId="3">#REF!</definedName>
    <definedName name="Смета">#REF!</definedName>
    <definedName name="Снижение_стоимости_двухцепной_ВЛ" localSheetId="0">[13]Таблица!#REF!</definedName>
    <definedName name="Снижение_стоимости_двухцепной_ВЛ" localSheetId="10">[14]Таблица!#REF!</definedName>
    <definedName name="Снижение_стоимости_двухцепной_ВЛ" localSheetId="6">[14]Таблица!#REF!</definedName>
    <definedName name="Снижение_стоимости_двухцепной_ВЛ" localSheetId="1">[13]Таблица!#REF!</definedName>
    <definedName name="Снижение_стоимости_двухцепной_ВЛ" localSheetId="11">[14]Таблица!#REF!</definedName>
    <definedName name="Снижение_стоимости_двухцепной_ВЛ" localSheetId="3">[13]Таблица!#REF!</definedName>
    <definedName name="Снижение_стоимости_двухцепной_ВЛ">[14]Таблица!#REF!</definedName>
    <definedName name="специф.2" localSheetId="0">#REF!</definedName>
    <definedName name="специф.2" localSheetId="10">#REF!</definedName>
    <definedName name="специф.2" localSheetId="6">#REF!</definedName>
    <definedName name="специф.2" localSheetId="11">#REF!</definedName>
    <definedName name="специф.2" localSheetId="3">#REF!</definedName>
    <definedName name="специф.2">#REF!</definedName>
    <definedName name="Специф1" localSheetId="0">#REF!</definedName>
    <definedName name="Специф1" localSheetId="10">#REF!</definedName>
    <definedName name="Специф1" localSheetId="11">#REF!</definedName>
    <definedName name="Специф1" localSheetId="3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 localSheetId="0">#REF!</definedName>
    <definedName name="спецификация" localSheetId="10">#REF!</definedName>
    <definedName name="спецификация" localSheetId="6">#REF!</definedName>
    <definedName name="спецификация" localSheetId="11">#REF!</definedName>
    <definedName name="спецификация" localSheetId="3">#REF!</definedName>
    <definedName name="спецификация">#REF!</definedName>
    <definedName name="Срез_№_в_ИПР">#N/A</definedName>
    <definedName name="ссммм" localSheetId="0">#REF!</definedName>
    <definedName name="ссммм" localSheetId="10">#REF!</definedName>
    <definedName name="ссммм" localSheetId="6">#REF!</definedName>
    <definedName name="ссммм" localSheetId="11">#REF!</definedName>
    <definedName name="ссммм" localSheetId="3">#REF!</definedName>
    <definedName name="ссммм">#REF!</definedName>
    <definedName name="ССР" localSheetId="0">#REF!</definedName>
    <definedName name="ССР" localSheetId="10">#REF!</definedName>
    <definedName name="ССР" localSheetId="11">#REF!</definedName>
    <definedName name="ССР" localSheetId="3">#REF!</definedName>
    <definedName name="ССР">#REF!</definedName>
    <definedName name="сср8" localSheetId="0">#REF!</definedName>
    <definedName name="сср8" localSheetId="10">#REF!</definedName>
    <definedName name="сср8" localSheetId="11">#REF!</definedName>
    <definedName name="сср8" localSheetId="3">#REF!</definedName>
    <definedName name="сср8">#REF!</definedName>
    <definedName name="ст" localSheetId="0">[1]!ABN</definedName>
    <definedName name="ст" localSheetId="10">[1]!ABN</definedName>
    <definedName name="ст" localSheetId="11">[1]!ABN</definedName>
    <definedName name="ст">[1]!ABN</definedName>
    <definedName name="Стоимость_ПИР" localSheetId="0">#REF!</definedName>
    <definedName name="Стоимость_ПИР" localSheetId="10">#REF!</definedName>
    <definedName name="Стоимость_ПИР" localSheetId="6">#REF!</definedName>
    <definedName name="Стоимость_ПИР" localSheetId="11">#REF!</definedName>
    <definedName name="Стоимость_ПИР" localSheetId="3">#REF!</definedName>
    <definedName name="Стоимость_ПИР">#REF!</definedName>
    <definedName name="Стоимость_специальных_переходов" localSheetId="0">[13]Таблица!$B$336:$B$338</definedName>
    <definedName name="Стоимость_специальных_переходов" localSheetId="1">[13]Таблица!$B$336:$B$338</definedName>
    <definedName name="Стоимость_специальных_переходов" localSheetId="3">[13]Таблица!$B$336:$B$338</definedName>
    <definedName name="Стоимость_специальных_переходов">[14]Таблица!$B$336:$B$338</definedName>
    <definedName name="СтрПС" localSheetId="0">[36]Справка!$A$3:$A$31</definedName>
    <definedName name="СтрПС" localSheetId="1">[36]Справка!$A$3:$A$31</definedName>
    <definedName name="СтрПС" localSheetId="3">[36]Справка!$A$3:$A$31</definedName>
    <definedName name="СтрПС">[37]Справка!$A$3:$A$31</definedName>
    <definedName name="счмм" localSheetId="0">#REF!</definedName>
    <definedName name="счмм" localSheetId="10">#REF!</definedName>
    <definedName name="счмм" localSheetId="6">#REF!</definedName>
    <definedName name="счмм" localSheetId="11">#REF!</definedName>
    <definedName name="счмм" localSheetId="3">#REF!</definedName>
    <definedName name="счмм">#REF!</definedName>
    <definedName name="Таблица_индексов" localSheetId="0">[17]индексы!#REF!</definedName>
    <definedName name="Таблица_индексов" localSheetId="10">[17]индексы!#REF!</definedName>
    <definedName name="Таблица_индексов" localSheetId="6">[17]индексы!#REF!</definedName>
    <definedName name="Таблица_индексов" localSheetId="11">[17]индексы!#REF!</definedName>
    <definedName name="Таблица_индексов" localSheetId="3">[17]индексы!#REF!</definedName>
    <definedName name="Таблица_индексов">[17]индексы!#REF!</definedName>
    <definedName name="Таблица_регионов" localSheetId="0">[17]индексы!#REF!</definedName>
    <definedName name="Таблица_регионов" localSheetId="10">[17]индексы!#REF!</definedName>
    <definedName name="Таблица_регионов" localSheetId="11">[17]индексы!#REF!</definedName>
    <definedName name="Таблица_регионов" localSheetId="3">[17]индексы!#REF!</definedName>
    <definedName name="Таблица_регионов">[17]индексы!#REF!</definedName>
    <definedName name="тампонаж" localSheetId="0">[39]!Rashod_dolot_zap</definedName>
    <definedName name="тампонаж" localSheetId="10">[39]!Rashod_dolot_zap</definedName>
    <definedName name="тампонаж" localSheetId="11">[39]!Rashod_dolot_zap</definedName>
    <definedName name="тампонаж">[39]!Rashod_dolot_zap</definedName>
    <definedName name="ТПиР">[17]классификаторы!$H$2:$H$5</definedName>
    <definedName name="Трансформаторы" localSheetId="0">[13]Таблица!$B$489:$B$529</definedName>
    <definedName name="Трансформаторы" localSheetId="1">[13]Таблица!$B$489:$B$529</definedName>
    <definedName name="Трансформаторы" localSheetId="3">[13]Таблица!$B$489:$B$529</definedName>
    <definedName name="Трансформаторы">[14]Таблица!$B$489:$B$529</definedName>
    <definedName name="Условия_ВЛ" localSheetId="0">[13]Таблица!$O$13:$O$17</definedName>
    <definedName name="Условия_ВЛ" localSheetId="1">[13]Таблица!$O$13:$O$17</definedName>
    <definedName name="Условия_ВЛ" localSheetId="3">[13]Таблица!$O$13:$O$17</definedName>
    <definedName name="Условия_ВЛ">[14]Таблица!$O$13:$O$17</definedName>
    <definedName name="Условия_КЛ" localSheetId="0">[13]Таблица!$P$15</definedName>
    <definedName name="Условия_КЛ" localSheetId="1">[13]Таблица!$P$15</definedName>
    <definedName name="Условия_КЛ" localSheetId="3">[13]Таблица!$P$15</definedName>
    <definedName name="Условия_КЛ">[14]Таблица!$P$15</definedName>
    <definedName name="уу" localSheetId="0">[6]!dialog_montag_show</definedName>
    <definedName name="уу" localSheetId="10">[6]!dialog_montag_show</definedName>
    <definedName name="уу" localSheetId="11">[6]!dialog_montag_show</definedName>
    <definedName name="уу">[6]!dialog_montag_show</definedName>
    <definedName name="ф" localSheetId="0">#REF!</definedName>
    <definedName name="ф" localSheetId="10">#REF!</definedName>
    <definedName name="ф" localSheetId="6">#REF!</definedName>
    <definedName name="ф" localSheetId="11">#REF!</definedName>
    <definedName name="ф" localSheetId="3">#REF!</definedName>
    <definedName name="ф">#REF!</definedName>
    <definedName name="Филиал" localSheetId="0">#REF!</definedName>
    <definedName name="Филиал" localSheetId="10">#REF!</definedName>
    <definedName name="Филиал" localSheetId="11">#REF!</definedName>
    <definedName name="Филиал" localSheetId="3">#REF!</definedName>
    <definedName name="Филиал">#REF!</definedName>
    <definedName name="Филиалы" localSheetId="0">[40]Списки!$C$2:$C$12</definedName>
    <definedName name="Филиалы" localSheetId="1">[40]Списки!$C$2:$C$12</definedName>
    <definedName name="Филиалы" localSheetId="3">[40]Списки!$C$2:$C$12</definedName>
    <definedName name="Филиалы">[41]Списки!$C$2:$C$12</definedName>
    <definedName name="фыв" localSheetId="0">[7]!FD</definedName>
    <definedName name="фыв" localSheetId="10">[7]!FD</definedName>
    <definedName name="фыв" localSheetId="11">[7]!FD</definedName>
    <definedName name="фыв">[7]!FD</definedName>
    <definedName name="х" localSheetId="0">#REF!</definedName>
    <definedName name="х" localSheetId="10">#REF!</definedName>
    <definedName name="х" localSheetId="6">#REF!</definedName>
    <definedName name="х" localSheetId="11">#REF!</definedName>
    <definedName name="х" localSheetId="3">#REF!</definedName>
    <definedName name="х">#REF!</definedName>
    <definedName name="цц" localSheetId="0">[6]!dial_mater</definedName>
    <definedName name="цц" localSheetId="10">[6]!dial_mater</definedName>
    <definedName name="цц" localSheetId="11">[6]!dial_mater</definedName>
    <definedName name="цц">[6]!dial_mater</definedName>
    <definedName name="шаблон" localSheetId="0">[1]!ABN</definedName>
    <definedName name="шаблон" localSheetId="10">[1]!ABN</definedName>
    <definedName name="шаблон" localSheetId="11">[1]!ABN</definedName>
    <definedName name="шаблон">[1]!ABN</definedName>
    <definedName name="э" localSheetId="0">#REF!</definedName>
    <definedName name="э" localSheetId="10">#REF!</definedName>
    <definedName name="э" localSheetId="6">#REF!</definedName>
    <definedName name="э" localSheetId="11">#REF!</definedName>
    <definedName name="э" localSheetId="3">#REF!</definedName>
    <definedName name="э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3" l="1"/>
  <c r="E30" i="4" l="1"/>
  <c r="E31" i="4" l="1"/>
  <c r="F31" i="4"/>
  <c r="D14" i="21"/>
  <c r="I7" i="21"/>
  <c r="I4" i="21"/>
  <c r="E25" i="20" l="1"/>
  <c r="E22" i="20"/>
  <c r="G20" i="20"/>
  <c r="E20" i="20"/>
  <c r="E21" i="20" s="1"/>
  <c r="E23" i="20" s="1"/>
  <c r="E17" i="20"/>
  <c r="E24" i="20" l="1"/>
  <c r="E26" i="20" l="1"/>
  <c r="E27" i="20" s="1"/>
  <c r="E25" i="19" l="1"/>
  <c r="E22" i="19"/>
  <c r="G20" i="19"/>
  <c r="E20" i="19"/>
  <c r="E21" i="19" s="1"/>
  <c r="E23" i="19" s="1"/>
  <c r="E17" i="19"/>
  <c r="E24" i="19" l="1"/>
  <c r="H72" i="17"/>
  <c r="G44" i="18"/>
  <c r="H24" i="6"/>
  <c r="G40" i="18"/>
  <c r="F40" i="18"/>
  <c r="D38" i="18"/>
  <c r="F38" i="18" s="1"/>
  <c r="G26" i="18"/>
  <c r="F26" i="18"/>
  <c r="D22" i="18"/>
  <c r="D23" i="18" s="1"/>
  <c r="F21" i="18"/>
  <c r="D21" i="18"/>
  <c r="G21" i="18" s="1"/>
  <c r="G20" i="18"/>
  <c r="F20" i="18"/>
  <c r="G18" i="18"/>
  <c r="F18" i="18"/>
  <c r="I17" i="18"/>
  <c r="G17" i="18"/>
  <c r="F17" i="18"/>
  <c r="G16" i="18"/>
  <c r="F16" i="18"/>
  <c r="I10" i="18"/>
  <c r="F19" i="18" s="1"/>
  <c r="A8" i="18"/>
  <c r="H21" i="17"/>
  <c r="H27" i="17" s="1"/>
  <c r="E26" i="19" l="1"/>
  <c r="E27" i="19" s="1"/>
  <c r="G23" i="18"/>
  <c r="D24" i="18"/>
  <c r="F23" i="18"/>
  <c r="G19" i="18"/>
  <c r="G22" i="18"/>
  <c r="G38" i="18"/>
  <c r="F22" i="18"/>
  <c r="D25" i="18" l="1"/>
  <c r="F24" i="18"/>
  <c r="G24" i="18"/>
  <c r="D29" i="18" l="1"/>
  <c r="G25" i="18"/>
  <c r="G27" i="18" s="1"/>
  <c r="F25" i="18"/>
  <c r="D34" i="18" l="1"/>
  <c r="D33" i="18"/>
  <c r="D31" i="18"/>
  <c r="G29" i="18"/>
  <c r="D35" i="18"/>
  <c r="D32" i="18"/>
  <c r="D30" i="18"/>
  <c r="F29" i="18"/>
  <c r="F32" i="18" l="1"/>
  <c r="G32" i="18"/>
  <c r="G33" i="18"/>
  <c r="F33" i="18"/>
  <c r="F30" i="18"/>
  <c r="G30" i="18"/>
  <c r="G36" i="18" s="1"/>
  <c r="F35" i="18"/>
  <c r="G35" i="18"/>
  <c r="G31" i="18"/>
  <c r="F31" i="18"/>
  <c r="G34" i="18"/>
  <c r="F34" i="18"/>
  <c r="F39" i="18" l="1"/>
  <c r="G39" i="18"/>
  <c r="H33" i="18" l="1"/>
  <c r="F41" i="18" l="1"/>
  <c r="G41" i="18"/>
  <c r="G42" i="18" s="1"/>
  <c r="G43" i="18" s="1"/>
  <c r="H65" i="17" l="1"/>
  <c r="H64" i="17"/>
  <c r="H63" i="17"/>
  <c r="H59" i="17"/>
  <c r="H58" i="17"/>
  <c r="H68" i="17" s="1"/>
  <c r="H57" i="17"/>
  <c r="H56" i="17"/>
  <c r="H39" i="17"/>
  <c r="H38" i="17"/>
  <c r="H66" i="17" s="1"/>
  <c r="H29" i="17"/>
  <c r="H28" i="17"/>
  <c r="H26" i="17"/>
  <c r="H18" i="17"/>
  <c r="G20" i="15"/>
  <c r="H67" i="17" l="1"/>
  <c r="H30" i="17"/>
  <c r="H31" i="17" s="1"/>
  <c r="H35" i="17" s="1"/>
  <c r="H69" i="17"/>
  <c r="H70" i="17" s="1"/>
  <c r="H61" i="17"/>
  <c r="H34" i="17" l="1"/>
  <c r="H36" i="17" s="1"/>
  <c r="H71" i="17" s="1"/>
  <c r="H73" i="17" s="1"/>
  <c r="C20" i="12" l="1"/>
  <c r="G45" i="9"/>
  <c r="G46" i="9" s="1"/>
  <c r="G33" i="9" l="1"/>
  <c r="C356" i="16" l="1"/>
  <c r="B356" i="16"/>
  <c r="C353" i="16"/>
  <c r="B353" i="16"/>
  <c r="K348" i="16"/>
  <c r="B348" i="16"/>
  <c r="K347" i="16"/>
  <c r="B347" i="16"/>
  <c r="K346" i="16"/>
  <c r="B346" i="16"/>
  <c r="K345" i="16"/>
  <c r="B345" i="16"/>
  <c r="K344" i="16"/>
  <c r="B344" i="16"/>
  <c r="K343" i="16"/>
  <c r="B343" i="16"/>
  <c r="K342" i="16"/>
  <c r="B342" i="16"/>
  <c r="K341" i="16"/>
  <c r="B341" i="16"/>
  <c r="K340" i="16"/>
  <c r="B340" i="16"/>
  <c r="K339" i="16"/>
  <c r="B339" i="16"/>
  <c r="K338" i="16"/>
  <c r="B338" i="16"/>
  <c r="K337" i="16"/>
  <c r="B337" i="16"/>
  <c r="K336" i="16"/>
  <c r="B336" i="16"/>
  <c r="K335" i="16"/>
  <c r="B335" i="16"/>
  <c r="K334" i="16"/>
  <c r="B334" i="16"/>
  <c r="K333" i="16"/>
  <c r="B333" i="16"/>
  <c r="K332" i="16"/>
  <c r="B332" i="16"/>
  <c r="K327" i="16"/>
  <c r="B327" i="16"/>
  <c r="K326" i="16"/>
  <c r="B326" i="16"/>
  <c r="K325" i="16"/>
  <c r="B325" i="16"/>
  <c r="K324" i="16"/>
  <c r="B324" i="16"/>
  <c r="K323" i="16"/>
  <c r="B323" i="16"/>
  <c r="K322" i="16"/>
  <c r="B322" i="16"/>
  <c r="K321" i="16"/>
  <c r="B321" i="16"/>
  <c r="K320" i="16"/>
  <c r="B320" i="16"/>
  <c r="K319" i="16"/>
  <c r="B319" i="16"/>
  <c r="K318" i="16"/>
  <c r="B318" i="16"/>
  <c r="L314" i="16"/>
  <c r="K314" i="16"/>
  <c r="H314" i="16"/>
  <c r="G314" i="16"/>
  <c r="K313" i="16"/>
  <c r="J313" i="16"/>
  <c r="H313" i="16"/>
  <c r="G313" i="16"/>
  <c r="E313" i="16"/>
  <c r="K312" i="16"/>
  <c r="J312" i="16"/>
  <c r="H312" i="16"/>
  <c r="G312" i="16"/>
  <c r="F312" i="16"/>
  <c r="E312" i="16"/>
  <c r="L311" i="16"/>
  <c r="J311" i="16"/>
  <c r="G311" i="16"/>
  <c r="F311" i="16"/>
  <c r="E311" i="16"/>
  <c r="K310" i="16"/>
  <c r="J310" i="16"/>
  <c r="H310" i="16"/>
  <c r="G310" i="16"/>
  <c r="F310" i="16"/>
  <c r="K309" i="16"/>
  <c r="J309" i="16"/>
  <c r="I309" i="16"/>
  <c r="H309" i="16"/>
  <c r="G309" i="16"/>
  <c r="F309" i="16"/>
  <c r="K308" i="16"/>
  <c r="H308" i="16"/>
  <c r="G308" i="16"/>
  <c r="D308" i="16"/>
  <c r="C308" i="16"/>
  <c r="B308" i="16"/>
  <c r="A308" i="16"/>
  <c r="L307" i="16"/>
  <c r="K307" i="16"/>
  <c r="H307" i="16"/>
  <c r="G307" i="16"/>
  <c r="K306" i="16"/>
  <c r="J306" i="16"/>
  <c r="H306" i="16"/>
  <c r="G306" i="16"/>
  <c r="E306" i="16"/>
  <c r="K305" i="16"/>
  <c r="J305" i="16"/>
  <c r="H305" i="16"/>
  <c r="G305" i="16"/>
  <c r="F305" i="16"/>
  <c r="E305" i="16"/>
  <c r="L304" i="16"/>
  <c r="G304" i="16"/>
  <c r="F304" i="16"/>
  <c r="E304" i="16"/>
  <c r="K303" i="16"/>
  <c r="H303" i="16"/>
  <c r="G303" i="16"/>
  <c r="F303" i="16"/>
  <c r="K302" i="16"/>
  <c r="J302" i="16"/>
  <c r="I302" i="16"/>
  <c r="H302" i="16"/>
  <c r="G302" i="16"/>
  <c r="F302" i="16"/>
  <c r="K301" i="16"/>
  <c r="H301" i="16"/>
  <c r="G301" i="16"/>
  <c r="D301" i="16"/>
  <c r="C301" i="16"/>
  <c r="B301" i="16"/>
  <c r="A301" i="16"/>
  <c r="L300" i="16"/>
  <c r="K300" i="16"/>
  <c r="H300" i="16"/>
  <c r="G300" i="16"/>
  <c r="K299" i="16"/>
  <c r="J299" i="16"/>
  <c r="H299" i="16"/>
  <c r="G299" i="16"/>
  <c r="E299" i="16"/>
  <c r="K298" i="16"/>
  <c r="J298" i="16"/>
  <c r="H298" i="16"/>
  <c r="G298" i="16"/>
  <c r="F298" i="16"/>
  <c r="E298" i="16"/>
  <c r="L297" i="16"/>
  <c r="G297" i="16"/>
  <c r="F297" i="16"/>
  <c r="E297" i="16"/>
  <c r="K296" i="16"/>
  <c r="H296" i="16"/>
  <c r="G296" i="16"/>
  <c r="F296" i="16"/>
  <c r="K295" i="16"/>
  <c r="J295" i="16"/>
  <c r="I295" i="16"/>
  <c r="H295" i="16"/>
  <c r="G295" i="16"/>
  <c r="F295" i="16"/>
  <c r="K294" i="16"/>
  <c r="H294" i="16"/>
  <c r="G294" i="16"/>
  <c r="D294" i="16"/>
  <c r="C294" i="16"/>
  <c r="B294" i="16"/>
  <c r="A294" i="16"/>
  <c r="L293" i="16"/>
  <c r="K293" i="16"/>
  <c r="H293" i="16"/>
  <c r="G293" i="16"/>
  <c r="K292" i="16"/>
  <c r="J292" i="16"/>
  <c r="H292" i="16"/>
  <c r="G292" i="16"/>
  <c r="E292" i="16"/>
  <c r="K291" i="16"/>
  <c r="J291" i="16"/>
  <c r="H291" i="16"/>
  <c r="G291" i="16"/>
  <c r="F291" i="16"/>
  <c r="E291" i="16"/>
  <c r="L290" i="16"/>
  <c r="G290" i="16"/>
  <c r="F290" i="16"/>
  <c r="E290" i="16"/>
  <c r="K289" i="16"/>
  <c r="H289" i="16"/>
  <c r="G289" i="16"/>
  <c r="F289" i="16"/>
  <c r="K288" i="16"/>
  <c r="J288" i="16"/>
  <c r="I288" i="16"/>
  <c r="H288" i="16"/>
  <c r="G288" i="16"/>
  <c r="F288" i="16"/>
  <c r="K287" i="16"/>
  <c r="H287" i="16"/>
  <c r="G287" i="16"/>
  <c r="D287" i="16"/>
  <c r="C287" i="16"/>
  <c r="B287" i="16"/>
  <c r="A287" i="16"/>
  <c r="L286" i="16"/>
  <c r="K286" i="16"/>
  <c r="H286" i="16"/>
  <c r="G286" i="16"/>
  <c r="K285" i="16"/>
  <c r="J285" i="16"/>
  <c r="H285" i="16"/>
  <c r="G285" i="16"/>
  <c r="F285" i="16"/>
  <c r="E285" i="16"/>
  <c r="K284" i="16"/>
  <c r="J284" i="16"/>
  <c r="H284" i="16"/>
  <c r="G284" i="16"/>
  <c r="F284" i="16"/>
  <c r="E284" i="16"/>
  <c r="L283" i="16"/>
  <c r="J283" i="16"/>
  <c r="G283" i="16"/>
  <c r="F283" i="16"/>
  <c r="E283" i="16"/>
  <c r="K282" i="16"/>
  <c r="J282" i="16"/>
  <c r="I282" i="16"/>
  <c r="H282" i="16"/>
  <c r="G282" i="16"/>
  <c r="F282" i="16"/>
  <c r="K281" i="16"/>
  <c r="H281" i="16"/>
  <c r="G281" i="16"/>
  <c r="D281" i="16"/>
  <c r="C281" i="16"/>
  <c r="B281" i="16"/>
  <c r="A281" i="16"/>
  <c r="C279" i="16"/>
  <c r="K277" i="16"/>
  <c r="M345" i="16" s="1"/>
  <c r="B277" i="16"/>
  <c r="K276" i="16"/>
  <c r="B276" i="16"/>
  <c r="K275" i="16"/>
  <c r="B275" i="16"/>
  <c r="K274" i="16"/>
  <c r="B274" i="16"/>
  <c r="K273" i="16"/>
  <c r="B273" i="16"/>
  <c r="K272" i="16"/>
  <c r="B272" i="16"/>
  <c r="K271" i="16"/>
  <c r="B271" i="16"/>
  <c r="K270" i="16"/>
  <c r="B270" i="16"/>
  <c r="J266" i="16"/>
  <c r="K266" i="16" s="1"/>
  <c r="I266" i="16"/>
  <c r="H266" i="16"/>
  <c r="G266" i="16"/>
  <c r="F266" i="16"/>
  <c r="E266" i="16"/>
  <c r="D266" i="16"/>
  <c r="C266" i="16"/>
  <c r="B266" i="16"/>
  <c r="J265" i="16"/>
  <c r="K265" i="16" s="1"/>
  <c r="I265" i="16"/>
  <c r="H265" i="16"/>
  <c r="G265" i="16"/>
  <c r="F265" i="16"/>
  <c r="E265" i="16"/>
  <c r="D265" i="16"/>
  <c r="C265" i="16"/>
  <c r="B265" i="16"/>
  <c r="L264" i="16"/>
  <c r="K264" i="16"/>
  <c r="H264" i="16"/>
  <c r="G264" i="16"/>
  <c r="K263" i="16"/>
  <c r="J263" i="16"/>
  <c r="H263" i="16"/>
  <c r="G263" i="16"/>
  <c r="F263" i="16"/>
  <c r="E263" i="16"/>
  <c r="K262" i="16"/>
  <c r="J262" i="16"/>
  <c r="H262" i="16"/>
  <c r="G262" i="16"/>
  <c r="F262" i="16"/>
  <c r="E262" i="16"/>
  <c r="L261" i="16"/>
  <c r="J261" i="16"/>
  <c r="G261" i="16"/>
  <c r="F261" i="16"/>
  <c r="E261" i="16"/>
  <c r="K260" i="16"/>
  <c r="J260" i="16"/>
  <c r="I260" i="16"/>
  <c r="H260" i="16"/>
  <c r="G260" i="16"/>
  <c r="F260" i="16"/>
  <c r="K259" i="16"/>
  <c r="H259" i="16"/>
  <c r="G259" i="16"/>
  <c r="D259" i="16"/>
  <c r="C259" i="16"/>
  <c r="B259" i="16"/>
  <c r="A259" i="16"/>
  <c r="J258" i="16"/>
  <c r="K258" i="16" s="1"/>
  <c r="I258" i="16"/>
  <c r="H258" i="16"/>
  <c r="G258" i="16"/>
  <c r="F258" i="16"/>
  <c r="E258" i="16"/>
  <c r="D258" i="16"/>
  <c r="C258" i="16"/>
  <c r="B258" i="16"/>
  <c r="J257" i="16"/>
  <c r="K257" i="16" s="1"/>
  <c r="I257" i="16"/>
  <c r="H257" i="16"/>
  <c r="G257" i="16"/>
  <c r="F257" i="16"/>
  <c r="E257" i="16"/>
  <c r="D257" i="16"/>
  <c r="C257" i="16"/>
  <c r="B257" i="16"/>
  <c r="L256" i="16"/>
  <c r="K256" i="16"/>
  <c r="H256" i="16"/>
  <c r="G256" i="16"/>
  <c r="K255" i="16"/>
  <c r="J255" i="16"/>
  <c r="H255" i="16"/>
  <c r="G255" i="16"/>
  <c r="F255" i="16"/>
  <c r="E255" i="16"/>
  <c r="K254" i="16"/>
  <c r="J254" i="16"/>
  <c r="H254" i="16"/>
  <c r="G254" i="16"/>
  <c r="F254" i="16"/>
  <c r="E254" i="16"/>
  <c r="L253" i="16"/>
  <c r="J253" i="16"/>
  <c r="G253" i="16"/>
  <c r="F253" i="16"/>
  <c r="E253" i="16"/>
  <c r="K252" i="16"/>
  <c r="J252" i="16"/>
  <c r="I252" i="16"/>
  <c r="H252" i="16"/>
  <c r="G252" i="16"/>
  <c r="F252" i="16"/>
  <c r="K251" i="16"/>
  <c r="H251" i="16"/>
  <c r="G251" i="16"/>
  <c r="D251" i="16"/>
  <c r="C251" i="16"/>
  <c r="B251" i="16"/>
  <c r="A251" i="16"/>
  <c r="J250" i="16"/>
  <c r="K250" i="16" s="1"/>
  <c r="I250" i="16"/>
  <c r="H250" i="16"/>
  <c r="G250" i="16"/>
  <c r="F250" i="16"/>
  <c r="E250" i="16"/>
  <c r="D250" i="16"/>
  <c r="C250" i="16"/>
  <c r="B250" i="16"/>
  <c r="J249" i="16"/>
  <c r="K249" i="16" s="1"/>
  <c r="I249" i="16"/>
  <c r="H249" i="16"/>
  <c r="G249" i="16"/>
  <c r="F249" i="16"/>
  <c r="E249" i="16"/>
  <c r="D249" i="16"/>
  <c r="C249" i="16"/>
  <c r="B249" i="16"/>
  <c r="L248" i="16"/>
  <c r="K248" i="16"/>
  <c r="H248" i="16"/>
  <c r="G248" i="16"/>
  <c r="K247" i="16"/>
  <c r="J247" i="16"/>
  <c r="H247" i="16"/>
  <c r="G247" i="16"/>
  <c r="F247" i="16"/>
  <c r="E247" i="16"/>
  <c r="K246" i="16"/>
  <c r="J246" i="16"/>
  <c r="H246" i="16"/>
  <c r="G246" i="16"/>
  <c r="F246" i="16"/>
  <c r="E246" i="16"/>
  <c r="L245" i="16"/>
  <c r="J245" i="16"/>
  <c r="G245" i="16"/>
  <c r="F245" i="16"/>
  <c r="E245" i="16"/>
  <c r="K244" i="16"/>
  <c r="J244" i="16"/>
  <c r="I244" i="16"/>
  <c r="H244" i="16"/>
  <c r="G244" i="16"/>
  <c r="F244" i="16"/>
  <c r="K243" i="16"/>
  <c r="H243" i="16"/>
  <c r="G243" i="16"/>
  <c r="D243" i="16"/>
  <c r="C243" i="16"/>
  <c r="B243" i="16"/>
  <c r="A243" i="16"/>
  <c r="C241" i="16"/>
  <c r="K239" i="16"/>
  <c r="B239" i="16"/>
  <c r="B238" i="16"/>
  <c r="K237" i="16"/>
  <c r="B237" i="16"/>
  <c r="K236" i="16"/>
  <c r="B236" i="16"/>
  <c r="K235" i="16"/>
  <c r="B235" i="16"/>
  <c r="K234" i="16"/>
  <c r="B234" i="16"/>
  <c r="K233" i="16"/>
  <c r="B233" i="16"/>
  <c r="K229" i="16"/>
  <c r="H229" i="16"/>
  <c r="G229" i="16"/>
  <c r="I229" i="16" s="1"/>
  <c r="F229" i="16"/>
  <c r="D229" i="16"/>
  <c r="C229" i="16"/>
  <c r="B229" i="16"/>
  <c r="A229" i="16"/>
  <c r="K228" i="16"/>
  <c r="H228" i="16"/>
  <c r="G228" i="16"/>
  <c r="I228" i="16" s="1"/>
  <c r="F228" i="16"/>
  <c r="D228" i="16"/>
  <c r="C228" i="16"/>
  <c r="B228" i="16"/>
  <c r="A228" i="16"/>
  <c r="K227" i="16"/>
  <c r="H227" i="16"/>
  <c r="G227" i="16"/>
  <c r="I227" i="16" s="1"/>
  <c r="F227" i="16"/>
  <c r="D227" i="16"/>
  <c r="C227" i="16"/>
  <c r="B227" i="16"/>
  <c r="A227" i="16"/>
  <c r="K226" i="16"/>
  <c r="H226" i="16"/>
  <c r="G226" i="16"/>
  <c r="I226" i="16" s="1"/>
  <c r="F226" i="16"/>
  <c r="D226" i="16"/>
  <c r="C226" i="16"/>
  <c r="B226" i="16"/>
  <c r="A226" i="16"/>
  <c r="K225" i="16"/>
  <c r="H225" i="16"/>
  <c r="G225" i="16"/>
  <c r="I225" i="16" s="1"/>
  <c r="F225" i="16"/>
  <c r="D225" i="16"/>
  <c r="C225" i="16"/>
  <c r="B225" i="16"/>
  <c r="A225" i="16"/>
  <c r="K224" i="16"/>
  <c r="H224" i="16"/>
  <c r="G224" i="16"/>
  <c r="I224" i="16" s="1"/>
  <c r="F224" i="16"/>
  <c r="D224" i="16"/>
  <c r="C224" i="16"/>
  <c r="B224" i="16"/>
  <c r="A224" i="16"/>
  <c r="K223" i="16"/>
  <c r="H223" i="16"/>
  <c r="G223" i="16"/>
  <c r="I223" i="16" s="1"/>
  <c r="F223" i="16"/>
  <c r="D223" i="16"/>
  <c r="C223" i="16"/>
  <c r="B223" i="16"/>
  <c r="A223" i="16"/>
  <c r="K222" i="16"/>
  <c r="H222" i="16"/>
  <c r="G222" i="16"/>
  <c r="I222" i="16" s="1"/>
  <c r="F222" i="16"/>
  <c r="D222" i="16"/>
  <c r="C222" i="16"/>
  <c r="B222" i="16"/>
  <c r="A222" i="16"/>
  <c r="C220" i="16"/>
  <c r="K218" i="16"/>
  <c r="B218" i="16"/>
  <c r="K217" i="16"/>
  <c r="B217" i="16"/>
  <c r="K216" i="16"/>
  <c r="B216" i="16"/>
  <c r="K215" i="16"/>
  <c r="B215" i="16"/>
  <c r="K214" i="16"/>
  <c r="B214" i="16"/>
  <c r="K213" i="16"/>
  <c r="B213" i="16"/>
  <c r="K212" i="16"/>
  <c r="B212" i="16"/>
  <c r="K211" i="16"/>
  <c r="B211" i="16"/>
  <c r="K210" i="16"/>
  <c r="B210" i="16"/>
  <c r="K209" i="16"/>
  <c r="B209" i="16"/>
  <c r="K208" i="16"/>
  <c r="B208" i="16"/>
  <c r="K207" i="16"/>
  <c r="B207" i="16"/>
  <c r="K206" i="16"/>
  <c r="B206" i="16"/>
  <c r="J202" i="16"/>
  <c r="K202" i="16" s="1"/>
  <c r="I202" i="16"/>
  <c r="H202" i="16"/>
  <c r="G202" i="16"/>
  <c r="F202" i="16"/>
  <c r="E202" i="16"/>
  <c r="D202" i="16"/>
  <c r="C202" i="16"/>
  <c r="B202" i="16"/>
  <c r="J201" i="16"/>
  <c r="K201" i="16" s="1"/>
  <c r="I201" i="16"/>
  <c r="H201" i="16"/>
  <c r="G201" i="16"/>
  <c r="F201" i="16"/>
  <c r="E201" i="16"/>
  <c r="D201" i="16"/>
  <c r="C201" i="16"/>
  <c r="B201" i="16"/>
  <c r="J200" i="16"/>
  <c r="K200" i="16" s="1"/>
  <c r="I200" i="16"/>
  <c r="H200" i="16"/>
  <c r="G200" i="16"/>
  <c r="F200" i="16"/>
  <c r="E200" i="16"/>
  <c r="D200" i="16"/>
  <c r="C200" i="16"/>
  <c r="B200" i="16"/>
  <c r="J199" i="16"/>
  <c r="K199" i="16" s="1"/>
  <c r="I199" i="16"/>
  <c r="H199" i="16"/>
  <c r="G199" i="16"/>
  <c r="F199" i="16"/>
  <c r="E199" i="16"/>
  <c r="D199" i="16"/>
  <c r="C199" i="16"/>
  <c r="B199" i="16"/>
  <c r="K198" i="16"/>
  <c r="J198" i="16"/>
  <c r="I198" i="16"/>
  <c r="H198" i="16"/>
  <c r="G198" i="16"/>
  <c r="F198" i="16"/>
  <c r="E198" i="16"/>
  <c r="D198" i="16"/>
  <c r="C198" i="16"/>
  <c r="B198" i="16"/>
  <c r="K197" i="16"/>
  <c r="J197" i="16"/>
  <c r="I197" i="16"/>
  <c r="H197" i="16"/>
  <c r="G197" i="16"/>
  <c r="F197" i="16"/>
  <c r="E197" i="16"/>
  <c r="D197" i="16"/>
  <c r="C197" i="16"/>
  <c r="B197" i="16"/>
  <c r="K196" i="16"/>
  <c r="J196" i="16"/>
  <c r="I196" i="16"/>
  <c r="H196" i="16"/>
  <c r="G196" i="16"/>
  <c r="F196" i="16"/>
  <c r="E196" i="16"/>
  <c r="D196" i="16"/>
  <c r="C196" i="16"/>
  <c r="B196" i="16"/>
  <c r="K195" i="16"/>
  <c r="J195" i="16"/>
  <c r="I195" i="16"/>
  <c r="H195" i="16"/>
  <c r="G195" i="16"/>
  <c r="F195" i="16"/>
  <c r="E195" i="16"/>
  <c r="D195" i="16"/>
  <c r="C195" i="16"/>
  <c r="B195" i="16"/>
  <c r="K194" i="16"/>
  <c r="J194" i="16"/>
  <c r="I194" i="16"/>
  <c r="H194" i="16"/>
  <c r="G194" i="16"/>
  <c r="F194" i="16"/>
  <c r="E194" i="16"/>
  <c r="D194" i="16"/>
  <c r="C194" i="16"/>
  <c r="B194" i="16"/>
  <c r="J193" i="16"/>
  <c r="K193" i="16" s="1"/>
  <c r="I193" i="16"/>
  <c r="H193" i="16"/>
  <c r="G193" i="16"/>
  <c r="F193" i="16"/>
  <c r="E193" i="16"/>
  <c r="D193" i="16"/>
  <c r="C193" i="16"/>
  <c r="B193" i="16"/>
  <c r="J192" i="16"/>
  <c r="K192" i="16" s="1"/>
  <c r="I192" i="16"/>
  <c r="H192" i="16"/>
  <c r="G192" i="16"/>
  <c r="F192" i="16"/>
  <c r="E192" i="16"/>
  <c r="D192" i="16"/>
  <c r="C192" i="16"/>
  <c r="B192" i="16"/>
  <c r="L191" i="16"/>
  <c r="K191" i="16"/>
  <c r="H191" i="16"/>
  <c r="G191" i="16"/>
  <c r="K190" i="16"/>
  <c r="J190" i="16"/>
  <c r="H190" i="16"/>
  <c r="G190" i="16"/>
  <c r="E190" i="16"/>
  <c r="K189" i="16"/>
  <c r="J189" i="16"/>
  <c r="H189" i="16"/>
  <c r="G189" i="16"/>
  <c r="E189" i="16"/>
  <c r="L188" i="16"/>
  <c r="E188" i="16"/>
  <c r="K187" i="16"/>
  <c r="J187" i="16"/>
  <c r="H187" i="16"/>
  <c r="G187" i="16"/>
  <c r="F187" i="16"/>
  <c r="K186" i="16"/>
  <c r="J186" i="16"/>
  <c r="H186" i="16"/>
  <c r="G186" i="16"/>
  <c r="F186" i="16"/>
  <c r="K185" i="16"/>
  <c r="J185" i="16"/>
  <c r="H185" i="16"/>
  <c r="G185" i="16"/>
  <c r="F185" i="16"/>
  <c r="K184" i="16"/>
  <c r="J184" i="16"/>
  <c r="I184" i="16"/>
  <c r="H184" i="16"/>
  <c r="G184" i="16"/>
  <c r="F184" i="16"/>
  <c r="K183" i="16"/>
  <c r="H183" i="16"/>
  <c r="G183" i="16"/>
  <c r="D183" i="16"/>
  <c r="C183" i="16"/>
  <c r="B183" i="16"/>
  <c r="A183" i="16"/>
  <c r="J182" i="16"/>
  <c r="K182" i="16" s="1"/>
  <c r="I182" i="16"/>
  <c r="H182" i="16"/>
  <c r="G182" i="16"/>
  <c r="F182" i="16"/>
  <c r="E182" i="16"/>
  <c r="D182" i="16"/>
  <c r="C182" i="16"/>
  <c r="B182" i="16"/>
  <c r="J181" i="16"/>
  <c r="K181" i="16" s="1"/>
  <c r="I181" i="16"/>
  <c r="H181" i="16"/>
  <c r="G181" i="16"/>
  <c r="F181" i="16"/>
  <c r="E181" i="16"/>
  <c r="D181" i="16"/>
  <c r="C181" i="16"/>
  <c r="B181" i="16"/>
  <c r="K180" i="16"/>
  <c r="J180" i="16"/>
  <c r="I180" i="16"/>
  <c r="H180" i="16"/>
  <c r="G180" i="16"/>
  <c r="F180" i="16"/>
  <c r="E180" i="16"/>
  <c r="D180" i="16"/>
  <c r="C180" i="16"/>
  <c r="B180" i="16"/>
  <c r="K179" i="16"/>
  <c r="J179" i="16"/>
  <c r="I179" i="16"/>
  <c r="H179" i="16"/>
  <c r="G179" i="16"/>
  <c r="F179" i="16"/>
  <c r="E179" i="16"/>
  <c r="D179" i="16"/>
  <c r="C179" i="16"/>
  <c r="B179" i="16"/>
  <c r="K178" i="16"/>
  <c r="J178" i="16"/>
  <c r="I178" i="16"/>
  <c r="H178" i="16"/>
  <c r="G178" i="16"/>
  <c r="F178" i="16"/>
  <c r="E178" i="16"/>
  <c r="D178" i="16"/>
  <c r="C178" i="16"/>
  <c r="B178" i="16"/>
  <c r="J177" i="16"/>
  <c r="K177" i="16" s="1"/>
  <c r="I177" i="16"/>
  <c r="H177" i="16"/>
  <c r="G177" i="16"/>
  <c r="F177" i="16"/>
  <c r="E177" i="16"/>
  <c r="D177" i="16"/>
  <c r="C177" i="16"/>
  <c r="B177" i="16"/>
  <c r="J176" i="16"/>
  <c r="K176" i="16" s="1"/>
  <c r="I176" i="16"/>
  <c r="H176" i="16"/>
  <c r="G176" i="16"/>
  <c r="F176" i="16"/>
  <c r="E176" i="16"/>
  <c r="D176" i="16"/>
  <c r="C176" i="16"/>
  <c r="B176" i="16"/>
  <c r="L175" i="16"/>
  <c r="K175" i="16"/>
  <c r="H175" i="16"/>
  <c r="G175" i="16"/>
  <c r="K174" i="16"/>
  <c r="J174" i="16"/>
  <c r="H174" i="16"/>
  <c r="G174" i="16"/>
  <c r="E174" i="16"/>
  <c r="K173" i="16"/>
  <c r="J173" i="16"/>
  <c r="H173" i="16"/>
  <c r="G173" i="16"/>
  <c r="E173" i="16"/>
  <c r="L172" i="16"/>
  <c r="E172" i="16"/>
  <c r="K171" i="16"/>
  <c r="J171" i="16"/>
  <c r="H171" i="16"/>
  <c r="G171" i="16"/>
  <c r="F171" i="16"/>
  <c r="K170" i="16"/>
  <c r="J170" i="16"/>
  <c r="H170" i="16"/>
  <c r="G170" i="16"/>
  <c r="F170" i="16"/>
  <c r="K169" i="16"/>
  <c r="J169" i="16"/>
  <c r="H169" i="16"/>
  <c r="G169" i="16"/>
  <c r="F169" i="16"/>
  <c r="K168" i="16"/>
  <c r="J168" i="16"/>
  <c r="I168" i="16"/>
  <c r="H168" i="16"/>
  <c r="G168" i="16"/>
  <c r="F168" i="16"/>
  <c r="K167" i="16"/>
  <c r="H167" i="16"/>
  <c r="G167" i="16"/>
  <c r="D167" i="16"/>
  <c r="C167" i="16"/>
  <c r="B167" i="16"/>
  <c r="A167" i="16"/>
  <c r="J166" i="16"/>
  <c r="K166" i="16" s="1"/>
  <c r="I166" i="16"/>
  <c r="H166" i="16"/>
  <c r="G166" i="16"/>
  <c r="F166" i="16"/>
  <c r="E166" i="16"/>
  <c r="D166" i="16"/>
  <c r="C166" i="16"/>
  <c r="B166" i="16"/>
  <c r="J165" i="16"/>
  <c r="K165" i="16" s="1"/>
  <c r="I165" i="16"/>
  <c r="H165" i="16"/>
  <c r="G165" i="16"/>
  <c r="F165" i="16"/>
  <c r="E165" i="16"/>
  <c r="D165" i="16"/>
  <c r="C165" i="16"/>
  <c r="B165" i="16"/>
  <c r="J164" i="16"/>
  <c r="K164" i="16" s="1"/>
  <c r="I164" i="16"/>
  <c r="H164" i="16"/>
  <c r="G164" i="16"/>
  <c r="F164" i="16"/>
  <c r="E164" i="16"/>
  <c r="D164" i="16"/>
  <c r="C164" i="16"/>
  <c r="B164" i="16"/>
  <c r="J163" i="16"/>
  <c r="K163" i="16" s="1"/>
  <c r="I163" i="16"/>
  <c r="H163" i="16"/>
  <c r="G163" i="16"/>
  <c r="F163" i="16"/>
  <c r="E163" i="16"/>
  <c r="D163" i="16"/>
  <c r="C163" i="16"/>
  <c r="B163" i="16"/>
  <c r="J162" i="16"/>
  <c r="K162" i="16" s="1"/>
  <c r="I162" i="16"/>
  <c r="H162" i="16"/>
  <c r="G162" i="16"/>
  <c r="F162" i="16"/>
  <c r="E162" i="16"/>
  <c r="D162" i="16"/>
  <c r="C162" i="16"/>
  <c r="B162" i="16"/>
  <c r="J161" i="16"/>
  <c r="K161" i="16" s="1"/>
  <c r="I161" i="16"/>
  <c r="H161" i="16"/>
  <c r="G161" i="16"/>
  <c r="F161" i="16"/>
  <c r="E161" i="16"/>
  <c r="D161" i="16"/>
  <c r="C161" i="16"/>
  <c r="B161" i="16"/>
  <c r="J160" i="16"/>
  <c r="K160" i="16" s="1"/>
  <c r="I160" i="16"/>
  <c r="H160" i="16"/>
  <c r="G160" i="16"/>
  <c r="F160" i="16"/>
  <c r="E160" i="16"/>
  <c r="D160" i="16"/>
  <c r="C160" i="16"/>
  <c r="B160" i="16"/>
  <c r="K159" i="16"/>
  <c r="J159" i="16"/>
  <c r="I159" i="16"/>
  <c r="H159" i="16"/>
  <c r="G159" i="16"/>
  <c r="F159" i="16"/>
  <c r="E159" i="16"/>
  <c r="D159" i="16"/>
  <c r="C159" i="16"/>
  <c r="B159" i="16"/>
  <c r="K158" i="16"/>
  <c r="J158" i="16"/>
  <c r="I158" i="16"/>
  <c r="H158" i="16"/>
  <c r="G158" i="16"/>
  <c r="F158" i="16"/>
  <c r="E158" i="16"/>
  <c r="D158" i="16"/>
  <c r="C158" i="16"/>
  <c r="B158" i="16"/>
  <c r="K157" i="16"/>
  <c r="J157" i="16"/>
  <c r="I157" i="16"/>
  <c r="H157" i="16"/>
  <c r="G157" i="16"/>
  <c r="F157" i="16"/>
  <c r="E157" i="16"/>
  <c r="D157" i="16"/>
  <c r="C157" i="16"/>
  <c r="B157" i="16"/>
  <c r="J156" i="16"/>
  <c r="K156" i="16" s="1"/>
  <c r="I156" i="16"/>
  <c r="H156" i="16"/>
  <c r="G156" i="16"/>
  <c r="F156" i="16"/>
  <c r="E156" i="16"/>
  <c r="D156" i="16"/>
  <c r="C156" i="16"/>
  <c r="B156" i="16"/>
  <c r="J155" i="16"/>
  <c r="K155" i="16" s="1"/>
  <c r="I155" i="16"/>
  <c r="H155" i="16"/>
  <c r="G155" i="16"/>
  <c r="F155" i="16"/>
  <c r="E155" i="16"/>
  <c r="D155" i="16"/>
  <c r="C155" i="16"/>
  <c r="B155" i="16"/>
  <c r="L154" i="16"/>
  <c r="K154" i="16"/>
  <c r="H154" i="16"/>
  <c r="G154" i="16"/>
  <c r="K153" i="16"/>
  <c r="J153" i="16"/>
  <c r="H153" i="16"/>
  <c r="G153" i="16"/>
  <c r="E153" i="16"/>
  <c r="K152" i="16"/>
  <c r="J152" i="16"/>
  <c r="H152" i="16"/>
  <c r="G152" i="16"/>
  <c r="E152" i="16"/>
  <c r="L151" i="16"/>
  <c r="E151" i="16"/>
  <c r="K150" i="16"/>
  <c r="J150" i="16"/>
  <c r="H150" i="16"/>
  <c r="G150" i="16"/>
  <c r="F150" i="16"/>
  <c r="K149" i="16"/>
  <c r="J149" i="16"/>
  <c r="H149" i="16"/>
  <c r="G149" i="16"/>
  <c r="F149" i="16"/>
  <c r="K148" i="16"/>
  <c r="J148" i="16"/>
  <c r="H148" i="16"/>
  <c r="G148" i="16"/>
  <c r="F148" i="16"/>
  <c r="K147" i="16"/>
  <c r="J147" i="16"/>
  <c r="I147" i="16"/>
  <c r="H147" i="16"/>
  <c r="G147" i="16"/>
  <c r="F147" i="16"/>
  <c r="K146" i="16"/>
  <c r="H146" i="16"/>
  <c r="G146" i="16"/>
  <c r="D146" i="16"/>
  <c r="C146" i="16"/>
  <c r="B146" i="16"/>
  <c r="A146" i="16"/>
  <c r="J145" i="16"/>
  <c r="K145" i="16" s="1"/>
  <c r="I145" i="16"/>
  <c r="H145" i="16"/>
  <c r="G145" i="16"/>
  <c r="F145" i="16"/>
  <c r="E145" i="16"/>
  <c r="D145" i="16"/>
  <c r="C145" i="16"/>
  <c r="B145" i="16"/>
  <c r="K144" i="16"/>
  <c r="J144" i="16"/>
  <c r="I144" i="16"/>
  <c r="H144" i="16"/>
  <c r="G144" i="16"/>
  <c r="F144" i="16"/>
  <c r="E144" i="16"/>
  <c r="D144" i="16"/>
  <c r="C144" i="16"/>
  <c r="B144" i="16"/>
  <c r="K143" i="16"/>
  <c r="J143" i="16"/>
  <c r="I143" i="16"/>
  <c r="H143" i="16"/>
  <c r="G143" i="16"/>
  <c r="F143" i="16"/>
  <c r="E143" i="16"/>
  <c r="D143" i="16"/>
  <c r="C143" i="16"/>
  <c r="B143" i="16"/>
  <c r="J142" i="16"/>
  <c r="K142" i="16" s="1"/>
  <c r="I142" i="16"/>
  <c r="H142" i="16"/>
  <c r="G142" i="16"/>
  <c r="F142" i="16"/>
  <c r="E142" i="16"/>
  <c r="D142" i="16"/>
  <c r="C142" i="16"/>
  <c r="B142" i="16"/>
  <c r="L141" i="16"/>
  <c r="K141" i="16"/>
  <c r="H141" i="16"/>
  <c r="G141" i="16"/>
  <c r="K140" i="16"/>
  <c r="J140" i="16"/>
  <c r="H140" i="16"/>
  <c r="G140" i="16"/>
  <c r="E140" i="16"/>
  <c r="K139" i="16"/>
  <c r="J139" i="16"/>
  <c r="H139" i="16"/>
  <c r="G139" i="16"/>
  <c r="E139" i="16"/>
  <c r="L138" i="16"/>
  <c r="J138" i="16"/>
  <c r="G138" i="16"/>
  <c r="F138" i="16"/>
  <c r="E138" i="16"/>
  <c r="K137" i="16"/>
  <c r="J137" i="16"/>
  <c r="H137" i="16"/>
  <c r="G137" i="16"/>
  <c r="F137" i="16"/>
  <c r="K136" i="16"/>
  <c r="J136" i="16"/>
  <c r="H136" i="16"/>
  <c r="G136" i="16"/>
  <c r="F136" i="16"/>
  <c r="K135" i="16"/>
  <c r="J135" i="16"/>
  <c r="I135" i="16"/>
  <c r="H135" i="16"/>
  <c r="G135" i="16"/>
  <c r="F135" i="16"/>
  <c r="K134" i="16"/>
  <c r="H134" i="16"/>
  <c r="G134" i="16"/>
  <c r="D134" i="16"/>
  <c r="C134" i="16"/>
  <c r="B134" i="16"/>
  <c r="A134" i="16"/>
  <c r="J133" i="16"/>
  <c r="K133" i="16" s="1"/>
  <c r="I133" i="16"/>
  <c r="H133" i="16"/>
  <c r="G133" i="16"/>
  <c r="F133" i="16"/>
  <c r="E133" i="16"/>
  <c r="D133" i="16"/>
  <c r="C133" i="16"/>
  <c r="B133" i="16"/>
  <c r="J132" i="16"/>
  <c r="K132" i="16" s="1"/>
  <c r="I132" i="16"/>
  <c r="H132" i="16"/>
  <c r="G132" i="16"/>
  <c r="F132" i="16"/>
  <c r="E132" i="16"/>
  <c r="D132" i="16"/>
  <c r="C132" i="16"/>
  <c r="B132" i="16"/>
  <c r="J131" i="16"/>
  <c r="K131" i="16" s="1"/>
  <c r="I131" i="16"/>
  <c r="H131" i="16"/>
  <c r="G131" i="16"/>
  <c r="F131" i="16"/>
  <c r="E131" i="16"/>
  <c r="D131" i="16"/>
  <c r="C131" i="16"/>
  <c r="B131" i="16"/>
  <c r="J130" i="16"/>
  <c r="K130" i="16" s="1"/>
  <c r="I130" i="16"/>
  <c r="H130" i="16"/>
  <c r="G130" i="16"/>
  <c r="F130" i="16"/>
  <c r="E130" i="16"/>
  <c r="D130" i="16"/>
  <c r="C130" i="16"/>
  <c r="B130" i="16"/>
  <c r="K129" i="16"/>
  <c r="J129" i="16"/>
  <c r="I129" i="16"/>
  <c r="H129" i="16"/>
  <c r="G129" i="16"/>
  <c r="F129" i="16"/>
  <c r="E129" i="16"/>
  <c r="D129" i="16"/>
  <c r="C129" i="16"/>
  <c r="B129" i="16"/>
  <c r="K128" i="16"/>
  <c r="J128" i="16"/>
  <c r="I128" i="16"/>
  <c r="H128" i="16"/>
  <c r="G128" i="16"/>
  <c r="F128" i="16"/>
  <c r="E128" i="16"/>
  <c r="D128" i="16"/>
  <c r="C128" i="16"/>
  <c r="B128" i="16"/>
  <c r="K127" i="16"/>
  <c r="J127" i="16"/>
  <c r="I127" i="16"/>
  <c r="H127" i="16"/>
  <c r="G127" i="16"/>
  <c r="F127" i="16"/>
  <c r="E127" i="16"/>
  <c r="D127" i="16"/>
  <c r="C127" i="16"/>
  <c r="B127" i="16"/>
  <c r="K126" i="16"/>
  <c r="J126" i="16"/>
  <c r="I126" i="16"/>
  <c r="H126" i="16"/>
  <c r="G126" i="16"/>
  <c r="F126" i="16"/>
  <c r="E126" i="16"/>
  <c r="D126" i="16"/>
  <c r="C126" i="16"/>
  <c r="B126" i="16"/>
  <c r="J125" i="16"/>
  <c r="K125" i="16" s="1"/>
  <c r="I125" i="16"/>
  <c r="H125" i="16"/>
  <c r="G125" i="16"/>
  <c r="F125" i="16"/>
  <c r="E125" i="16"/>
  <c r="D125" i="16"/>
  <c r="C125" i="16"/>
  <c r="B125" i="16"/>
  <c r="J124" i="16"/>
  <c r="K124" i="16" s="1"/>
  <c r="I124" i="16"/>
  <c r="H124" i="16"/>
  <c r="G124" i="16"/>
  <c r="F124" i="16"/>
  <c r="E124" i="16"/>
  <c r="D124" i="16"/>
  <c r="C124" i="16"/>
  <c r="B124" i="16"/>
  <c r="L123" i="16"/>
  <c r="K123" i="16"/>
  <c r="H123" i="16"/>
  <c r="G123" i="16"/>
  <c r="K122" i="16"/>
  <c r="J122" i="16"/>
  <c r="H122" i="16"/>
  <c r="G122" i="16"/>
  <c r="E122" i="16"/>
  <c r="K121" i="16"/>
  <c r="J121" i="16"/>
  <c r="H121" i="16"/>
  <c r="G121" i="16"/>
  <c r="E121" i="16"/>
  <c r="L120" i="16"/>
  <c r="E120" i="16"/>
  <c r="K119" i="16"/>
  <c r="J119" i="16"/>
  <c r="H119" i="16"/>
  <c r="G119" i="16"/>
  <c r="F119" i="16"/>
  <c r="K118" i="16"/>
  <c r="J118" i="16"/>
  <c r="H118" i="16"/>
  <c r="G118" i="16"/>
  <c r="F118" i="16"/>
  <c r="K117" i="16"/>
  <c r="J117" i="16"/>
  <c r="H117" i="16"/>
  <c r="G117" i="16"/>
  <c r="F117" i="16"/>
  <c r="K116" i="16"/>
  <c r="J116" i="16"/>
  <c r="I116" i="16"/>
  <c r="H116" i="16"/>
  <c r="G116" i="16"/>
  <c r="F116" i="16"/>
  <c r="K115" i="16"/>
  <c r="H115" i="16"/>
  <c r="G115" i="16"/>
  <c r="D115" i="16"/>
  <c r="C115" i="16"/>
  <c r="B115" i="16"/>
  <c r="A115" i="16"/>
  <c r="J114" i="16"/>
  <c r="K114" i="16" s="1"/>
  <c r="I114" i="16"/>
  <c r="H114" i="16"/>
  <c r="G114" i="16"/>
  <c r="F114" i="16"/>
  <c r="E114" i="16"/>
  <c r="D114" i="16"/>
  <c r="C114" i="16"/>
  <c r="B114" i="16"/>
  <c r="J113" i="16"/>
  <c r="K113" i="16" s="1"/>
  <c r="I113" i="16"/>
  <c r="H113" i="16"/>
  <c r="G113" i="16"/>
  <c r="F113" i="16"/>
  <c r="E113" i="16"/>
  <c r="D113" i="16"/>
  <c r="C113" i="16"/>
  <c r="B113" i="16"/>
  <c r="J112" i="16"/>
  <c r="K112" i="16" s="1"/>
  <c r="I112" i="16"/>
  <c r="H112" i="16"/>
  <c r="G112" i="16"/>
  <c r="F112" i="16"/>
  <c r="E112" i="16"/>
  <c r="D112" i="16"/>
  <c r="C112" i="16"/>
  <c r="B112" i="16"/>
  <c r="J111" i="16"/>
  <c r="K111" i="16" s="1"/>
  <c r="I111" i="16"/>
  <c r="H111" i="16"/>
  <c r="G111" i="16"/>
  <c r="F111" i="16"/>
  <c r="E111" i="16"/>
  <c r="D111" i="16"/>
  <c r="C111" i="16"/>
  <c r="B111" i="16"/>
  <c r="K110" i="16"/>
  <c r="J110" i="16"/>
  <c r="I110" i="16"/>
  <c r="H110" i="16"/>
  <c r="G110" i="16"/>
  <c r="F110" i="16"/>
  <c r="E110" i="16"/>
  <c r="D110" i="16"/>
  <c r="C110" i="16"/>
  <c r="B110" i="16"/>
  <c r="K109" i="16"/>
  <c r="J109" i="16"/>
  <c r="I109" i="16"/>
  <c r="H109" i="16"/>
  <c r="G109" i="16"/>
  <c r="F109" i="16"/>
  <c r="E109" i="16"/>
  <c r="D109" i="16"/>
  <c r="C109" i="16"/>
  <c r="B109" i="16"/>
  <c r="K108" i="16"/>
  <c r="J108" i="16"/>
  <c r="I108" i="16"/>
  <c r="H108" i="16"/>
  <c r="G108" i="16"/>
  <c r="F108" i="16"/>
  <c r="E108" i="16"/>
  <c r="D108" i="16"/>
  <c r="C108" i="16"/>
  <c r="B108" i="16"/>
  <c r="K107" i="16"/>
  <c r="J107" i="16"/>
  <c r="I107" i="16"/>
  <c r="H107" i="16"/>
  <c r="G107" i="16"/>
  <c r="F107" i="16"/>
  <c r="E107" i="16"/>
  <c r="D107" i="16"/>
  <c r="C107" i="16"/>
  <c r="B107" i="16"/>
  <c r="K106" i="16"/>
  <c r="J106" i="16"/>
  <c r="I106" i="16"/>
  <c r="H106" i="16"/>
  <c r="G106" i="16"/>
  <c r="F106" i="16"/>
  <c r="E106" i="16"/>
  <c r="D106" i="16"/>
  <c r="C106" i="16"/>
  <c r="B106" i="16"/>
  <c r="J105" i="16"/>
  <c r="K105" i="16" s="1"/>
  <c r="I105" i="16"/>
  <c r="H105" i="16"/>
  <c r="G105" i="16"/>
  <c r="F105" i="16"/>
  <c r="E105" i="16"/>
  <c r="D105" i="16"/>
  <c r="C105" i="16"/>
  <c r="B105" i="16"/>
  <c r="J104" i="16"/>
  <c r="K104" i="16" s="1"/>
  <c r="I104" i="16"/>
  <c r="H104" i="16"/>
  <c r="G104" i="16"/>
  <c r="F104" i="16"/>
  <c r="E104" i="16"/>
  <c r="D104" i="16"/>
  <c r="C104" i="16"/>
  <c r="B104" i="16"/>
  <c r="L103" i="16"/>
  <c r="K103" i="16"/>
  <c r="H103" i="16"/>
  <c r="G103" i="16"/>
  <c r="K102" i="16"/>
  <c r="J102" i="16"/>
  <c r="H102" i="16"/>
  <c r="G102" i="16"/>
  <c r="E102" i="16"/>
  <c r="K101" i="16"/>
  <c r="J101" i="16"/>
  <c r="H101" i="16"/>
  <c r="G101" i="16"/>
  <c r="E101" i="16"/>
  <c r="L100" i="16"/>
  <c r="E100" i="16"/>
  <c r="K99" i="16"/>
  <c r="J99" i="16"/>
  <c r="H99" i="16"/>
  <c r="G99" i="16"/>
  <c r="F99" i="16"/>
  <c r="K98" i="16"/>
  <c r="J98" i="16"/>
  <c r="H98" i="16"/>
  <c r="G98" i="16"/>
  <c r="F98" i="16"/>
  <c r="K97" i="16"/>
  <c r="J97" i="16"/>
  <c r="H97" i="16"/>
  <c r="G97" i="16"/>
  <c r="F97" i="16"/>
  <c r="K96" i="16"/>
  <c r="J96" i="16"/>
  <c r="I96" i="16"/>
  <c r="H96" i="16"/>
  <c r="G96" i="16"/>
  <c r="F96" i="16"/>
  <c r="K95" i="16"/>
  <c r="H95" i="16"/>
  <c r="G95" i="16"/>
  <c r="D95" i="16"/>
  <c r="C95" i="16"/>
  <c r="B95" i="16"/>
  <c r="A95" i="16"/>
  <c r="J94" i="16"/>
  <c r="K94" i="16" s="1"/>
  <c r="I94" i="16"/>
  <c r="H94" i="16"/>
  <c r="G94" i="16"/>
  <c r="F94" i="16"/>
  <c r="E94" i="16"/>
  <c r="D94" i="16"/>
  <c r="C94" i="16"/>
  <c r="B94" i="16"/>
  <c r="J93" i="16"/>
  <c r="K93" i="16" s="1"/>
  <c r="I93" i="16"/>
  <c r="H93" i="16"/>
  <c r="G93" i="16"/>
  <c r="F93" i="16"/>
  <c r="E93" i="16"/>
  <c r="D93" i="16"/>
  <c r="C93" i="16"/>
  <c r="B93" i="16"/>
  <c r="J92" i="16"/>
  <c r="K92" i="16" s="1"/>
  <c r="I92" i="16"/>
  <c r="H92" i="16"/>
  <c r="G92" i="16"/>
  <c r="F92" i="16"/>
  <c r="E92" i="16"/>
  <c r="D92" i="16"/>
  <c r="C92" i="16"/>
  <c r="B92" i="16"/>
  <c r="J91" i="16"/>
  <c r="K91" i="16" s="1"/>
  <c r="I91" i="16"/>
  <c r="H91" i="16"/>
  <c r="G91" i="16"/>
  <c r="F91" i="16"/>
  <c r="E91" i="16"/>
  <c r="D91" i="16"/>
  <c r="C91" i="16"/>
  <c r="B91" i="16"/>
  <c r="K90" i="16"/>
  <c r="J90" i="16"/>
  <c r="I90" i="16"/>
  <c r="H90" i="16"/>
  <c r="G90" i="16"/>
  <c r="F90" i="16"/>
  <c r="E90" i="16"/>
  <c r="D90" i="16"/>
  <c r="C90" i="16"/>
  <c r="B90" i="16"/>
  <c r="K89" i="16"/>
  <c r="J89" i="16"/>
  <c r="I89" i="16"/>
  <c r="H89" i="16"/>
  <c r="G89" i="16"/>
  <c r="F89" i="16"/>
  <c r="E89" i="16"/>
  <c r="D89" i="16"/>
  <c r="C89" i="16"/>
  <c r="B89" i="16"/>
  <c r="K88" i="16"/>
  <c r="J88" i="16"/>
  <c r="I88" i="16"/>
  <c r="H88" i="16"/>
  <c r="G88" i="16"/>
  <c r="F88" i="16"/>
  <c r="E88" i="16"/>
  <c r="D88" i="16"/>
  <c r="C88" i="16"/>
  <c r="B88" i="16"/>
  <c r="J87" i="16"/>
  <c r="K87" i="16" s="1"/>
  <c r="I87" i="16"/>
  <c r="H87" i="16"/>
  <c r="G87" i="16"/>
  <c r="F87" i="16"/>
  <c r="E87" i="16"/>
  <c r="D87" i="16"/>
  <c r="C87" i="16"/>
  <c r="B87" i="16"/>
  <c r="J86" i="16"/>
  <c r="K86" i="16" s="1"/>
  <c r="I86" i="16"/>
  <c r="H86" i="16"/>
  <c r="G86" i="16"/>
  <c r="F86" i="16"/>
  <c r="E86" i="16"/>
  <c r="D86" i="16"/>
  <c r="C86" i="16"/>
  <c r="B86" i="16"/>
  <c r="L85" i="16"/>
  <c r="K85" i="16"/>
  <c r="H85" i="16"/>
  <c r="G85" i="16"/>
  <c r="K84" i="16"/>
  <c r="J84" i="16"/>
  <c r="H84" i="16"/>
  <c r="G84" i="16"/>
  <c r="E84" i="16"/>
  <c r="K83" i="16"/>
  <c r="J83" i="16"/>
  <c r="H83" i="16"/>
  <c r="G83" i="16"/>
  <c r="E83" i="16"/>
  <c r="L82" i="16"/>
  <c r="E82" i="16"/>
  <c r="K81" i="16"/>
  <c r="J81" i="16"/>
  <c r="H81" i="16"/>
  <c r="G81" i="16"/>
  <c r="F81" i="16"/>
  <c r="K80" i="16"/>
  <c r="J80" i="16"/>
  <c r="H80" i="16"/>
  <c r="G80" i="16"/>
  <c r="F80" i="16"/>
  <c r="K79" i="16"/>
  <c r="J79" i="16"/>
  <c r="H79" i="16"/>
  <c r="G79" i="16"/>
  <c r="F79" i="16"/>
  <c r="K78" i="16"/>
  <c r="J78" i="16"/>
  <c r="I78" i="16"/>
  <c r="H78" i="16"/>
  <c r="G78" i="16"/>
  <c r="F78" i="16"/>
  <c r="K77" i="16"/>
  <c r="H77" i="16"/>
  <c r="G77" i="16"/>
  <c r="D77" i="16"/>
  <c r="C77" i="16"/>
  <c r="B77" i="16"/>
  <c r="A77" i="16"/>
  <c r="J76" i="16"/>
  <c r="K76" i="16" s="1"/>
  <c r="I76" i="16"/>
  <c r="H76" i="16"/>
  <c r="G76" i="16"/>
  <c r="F76" i="16"/>
  <c r="E76" i="16"/>
  <c r="D76" i="16"/>
  <c r="C76" i="16"/>
  <c r="B76" i="16"/>
  <c r="J75" i="16"/>
  <c r="K75" i="16" s="1"/>
  <c r="I75" i="16"/>
  <c r="H75" i="16"/>
  <c r="G75" i="16"/>
  <c r="F75" i="16"/>
  <c r="E75" i="16"/>
  <c r="D75" i="16"/>
  <c r="C75" i="16"/>
  <c r="B75" i="16"/>
  <c r="J74" i="16"/>
  <c r="K74" i="16" s="1"/>
  <c r="I74" i="16"/>
  <c r="H74" i="16"/>
  <c r="G74" i="16"/>
  <c r="F74" i="16"/>
  <c r="E74" i="16"/>
  <c r="D74" i="16"/>
  <c r="C74" i="16"/>
  <c r="B74" i="16"/>
  <c r="J73" i="16"/>
  <c r="K73" i="16" s="1"/>
  <c r="I73" i="16"/>
  <c r="H73" i="16"/>
  <c r="G73" i="16"/>
  <c r="F73" i="16"/>
  <c r="E73" i="16"/>
  <c r="D73" i="16"/>
  <c r="C73" i="16"/>
  <c r="B73" i="16"/>
  <c r="J72" i="16"/>
  <c r="K72" i="16" s="1"/>
  <c r="I72" i="16"/>
  <c r="H72" i="16"/>
  <c r="G72" i="16"/>
  <c r="F72" i="16"/>
  <c r="E72" i="16"/>
  <c r="D72" i="16"/>
  <c r="C72" i="16"/>
  <c r="B72" i="16"/>
  <c r="J71" i="16"/>
  <c r="K71" i="16" s="1"/>
  <c r="I71" i="16"/>
  <c r="H71" i="16"/>
  <c r="G71" i="16"/>
  <c r="F71" i="16"/>
  <c r="E71" i="16"/>
  <c r="D71" i="16"/>
  <c r="C71" i="16"/>
  <c r="B71" i="16"/>
  <c r="J70" i="16"/>
  <c r="K70" i="16" s="1"/>
  <c r="I70" i="16"/>
  <c r="H70" i="16"/>
  <c r="G70" i="16"/>
  <c r="F70" i="16"/>
  <c r="E70" i="16"/>
  <c r="D70" i="16"/>
  <c r="C70" i="16"/>
  <c r="B70" i="16"/>
  <c r="K69" i="16"/>
  <c r="J69" i="16"/>
  <c r="I69" i="16"/>
  <c r="H69" i="16"/>
  <c r="G69" i="16"/>
  <c r="F69" i="16"/>
  <c r="E69" i="16"/>
  <c r="D69" i="16"/>
  <c r="C69" i="16"/>
  <c r="B69" i="16"/>
  <c r="K68" i="16"/>
  <c r="J68" i="16"/>
  <c r="I68" i="16"/>
  <c r="H68" i="16"/>
  <c r="G68" i="16"/>
  <c r="F68" i="16"/>
  <c r="E68" i="16"/>
  <c r="D68" i="16"/>
  <c r="C68" i="16"/>
  <c r="B68" i="16"/>
  <c r="J67" i="16"/>
  <c r="K67" i="16" s="1"/>
  <c r="I67" i="16"/>
  <c r="H67" i="16"/>
  <c r="G67" i="16"/>
  <c r="F67" i="16"/>
  <c r="E67" i="16"/>
  <c r="D67" i="16"/>
  <c r="C67" i="16"/>
  <c r="B67" i="16"/>
  <c r="J66" i="16"/>
  <c r="K66" i="16" s="1"/>
  <c r="I66" i="16"/>
  <c r="H66" i="16"/>
  <c r="G66" i="16"/>
  <c r="F66" i="16"/>
  <c r="E66" i="16"/>
  <c r="D66" i="16"/>
  <c r="C66" i="16"/>
  <c r="B66" i="16"/>
  <c r="L65" i="16"/>
  <c r="K65" i="16"/>
  <c r="H65" i="16"/>
  <c r="G65" i="16"/>
  <c r="K64" i="16"/>
  <c r="J64" i="16"/>
  <c r="H64" i="16"/>
  <c r="G64" i="16"/>
  <c r="E64" i="16"/>
  <c r="K63" i="16"/>
  <c r="J63" i="16"/>
  <c r="H63" i="16"/>
  <c r="G63" i="16"/>
  <c r="E63" i="16"/>
  <c r="L62" i="16"/>
  <c r="E62" i="16"/>
  <c r="K61" i="16"/>
  <c r="J61" i="16"/>
  <c r="H61" i="16"/>
  <c r="G61" i="16"/>
  <c r="F61" i="16"/>
  <c r="K60" i="16"/>
  <c r="J60" i="16"/>
  <c r="H60" i="16"/>
  <c r="G60" i="16"/>
  <c r="F60" i="16"/>
  <c r="K59" i="16"/>
  <c r="J59" i="16"/>
  <c r="H59" i="16"/>
  <c r="G59" i="16"/>
  <c r="F59" i="16"/>
  <c r="K58" i="16"/>
  <c r="J58" i="16"/>
  <c r="I58" i="16"/>
  <c r="H58" i="16"/>
  <c r="G58" i="16"/>
  <c r="F58" i="16"/>
  <c r="K57" i="16"/>
  <c r="H57" i="16"/>
  <c r="G57" i="16"/>
  <c r="D57" i="16"/>
  <c r="C57" i="16"/>
  <c r="B57" i="16"/>
  <c r="A57" i="16"/>
  <c r="K56" i="16"/>
  <c r="J56" i="16"/>
  <c r="I56" i="16"/>
  <c r="H56" i="16"/>
  <c r="G56" i="16"/>
  <c r="F56" i="16"/>
  <c r="E56" i="16"/>
  <c r="D56" i="16"/>
  <c r="C56" i="16"/>
  <c r="B56" i="16"/>
  <c r="K55" i="16"/>
  <c r="J55" i="16"/>
  <c r="I55" i="16"/>
  <c r="H55" i="16"/>
  <c r="G55" i="16"/>
  <c r="F55" i="16"/>
  <c r="E55" i="16"/>
  <c r="D55" i="16"/>
  <c r="C55" i="16"/>
  <c r="B55" i="16"/>
  <c r="J54" i="16"/>
  <c r="K54" i="16" s="1"/>
  <c r="I54" i="16"/>
  <c r="H54" i="16"/>
  <c r="G54" i="16"/>
  <c r="F54" i="16"/>
  <c r="E54" i="16"/>
  <c r="D54" i="16"/>
  <c r="C54" i="16"/>
  <c r="B54" i="16"/>
  <c r="J53" i="16"/>
  <c r="K53" i="16" s="1"/>
  <c r="I53" i="16"/>
  <c r="H53" i="16"/>
  <c r="G53" i="16"/>
  <c r="F53" i="16"/>
  <c r="E53" i="16"/>
  <c r="D53" i="16"/>
  <c r="C53" i="16"/>
  <c r="B53" i="16"/>
  <c r="L52" i="16"/>
  <c r="K52" i="16"/>
  <c r="H52" i="16"/>
  <c r="G52" i="16"/>
  <c r="K51" i="16"/>
  <c r="J51" i="16"/>
  <c r="H51" i="16"/>
  <c r="G51" i="16"/>
  <c r="E51" i="16"/>
  <c r="K50" i="16"/>
  <c r="J50" i="16"/>
  <c r="H50" i="16"/>
  <c r="G50" i="16"/>
  <c r="E50" i="16"/>
  <c r="L49" i="16"/>
  <c r="J49" i="16"/>
  <c r="G49" i="16"/>
  <c r="F49" i="16"/>
  <c r="E49" i="16"/>
  <c r="K48" i="16"/>
  <c r="J48" i="16"/>
  <c r="H48" i="16"/>
  <c r="G48" i="16"/>
  <c r="F48" i="16"/>
  <c r="K47" i="16"/>
  <c r="J47" i="16"/>
  <c r="H47" i="16"/>
  <c r="G47" i="16"/>
  <c r="F47" i="16"/>
  <c r="K46" i="16"/>
  <c r="J46" i="16"/>
  <c r="I46" i="16"/>
  <c r="H46" i="16"/>
  <c r="G46" i="16"/>
  <c r="F46" i="16"/>
  <c r="K45" i="16"/>
  <c r="H45" i="16"/>
  <c r="G45" i="16"/>
  <c r="D45" i="16"/>
  <c r="C45" i="16"/>
  <c r="B45" i="16"/>
  <c r="A45" i="16"/>
  <c r="K44" i="16"/>
  <c r="J44" i="16"/>
  <c r="I44" i="16"/>
  <c r="H44" i="16"/>
  <c r="G44" i="16"/>
  <c r="F44" i="16"/>
  <c r="E44" i="16"/>
  <c r="D44" i="16"/>
  <c r="C44" i="16"/>
  <c r="B44" i="16"/>
  <c r="K43" i="16"/>
  <c r="J43" i="16"/>
  <c r="I43" i="16"/>
  <c r="H43" i="16"/>
  <c r="G43" i="16"/>
  <c r="F43" i="16"/>
  <c r="E43" i="16"/>
  <c r="D43" i="16"/>
  <c r="C43" i="16"/>
  <c r="B43" i="16"/>
  <c r="K42" i="16"/>
  <c r="J42" i="16"/>
  <c r="I42" i="16"/>
  <c r="H42" i="16"/>
  <c r="G42" i="16"/>
  <c r="F42" i="16"/>
  <c r="E42" i="16"/>
  <c r="D42" i="16"/>
  <c r="C42" i="16"/>
  <c r="B42" i="16"/>
  <c r="J41" i="16"/>
  <c r="K41" i="16" s="1"/>
  <c r="I41" i="16"/>
  <c r="H41" i="16"/>
  <c r="G41" i="16"/>
  <c r="F41" i="16"/>
  <c r="E41" i="16"/>
  <c r="D41" i="16"/>
  <c r="C41" i="16"/>
  <c r="B41" i="16"/>
  <c r="J40" i="16"/>
  <c r="K40" i="16" s="1"/>
  <c r="I40" i="16"/>
  <c r="H40" i="16"/>
  <c r="G40" i="16"/>
  <c r="F40" i="16"/>
  <c r="E40" i="16"/>
  <c r="D40" i="16"/>
  <c r="C40" i="16"/>
  <c r="B40" i="16"/>
  <c r="L39" i="16"/>
  <c r="K39" i="16"/>
  <c r="H39" i="16"/>
  <c r="G39" i="16"/>
  <c r="K38" i="16"/>
  <c r="J38" i="16"/>
  <c r="H38" i="16"/>
  <c r="G38" i="16"/>
  <c r="E38" i="16"/>
  <c r="K37" i="16"/>
  <c r="J37" i="16"/>
  <c r="H37" i="16"/>
  <c r="G37" i="16"/>
  <c r="E37" i="16"/>
  <c r="L36" i="16"/>
  <c r="J36" i="16"/>
  <c r="G36" i="16"/>
  <c r="F36" i="16"/>
  <c r="E36" i="16"/>
  <c r="K35" i="16"/>
  <c r="J35" i="16"/>
  <c r="H35" i="16"/>
  <c r="G35" i="16"/>
  <c r="F35" i="16"/>
  <c r="K34" i="16"/>
  <c r="J34" i="16"/>
  <c r="H34" i="16"/>
  <c r="G34" i="16"/>
  <c r="F34" i="16"/>
  <c r="K33" i="16"/>
  <c r="J33" i="16"/>
  <c r="I33" i="16"/>
  <c r="H33" i="16"/>
  <c r="G33" i="16"/>
  <c r="F33" i="16"/>
  <c r="K32" i="16"/>
  <c r="H32" i="16"/>
  <c r="G32" i="16"/>
  <c r="D32" i="16"/>
  <c r="C32" i="16"/>
  <c r="B32" i="16"/>
  <c r="A32" i="16"/>
  <c r="C30" i="16"/>
  <c r="K22" i="16"/>
  <c r="J22" i="16"/>
  <c r="K21" i="16"/>
  <c r="J21" i="16"/>
  <c r="K20" i="16"/>
  <c r="J20" i="16"/>
  <c r="K19" i="16"/>
  <c r="J19" i="16"/>
  <c r="K18" i="16"/>
  <c r="J18" i="16"/>
  <c r="K17" i="16"/>
  <c r="J17" i="16"/>
  <c r="K16" i="16"/>
  <c r="J16" i="16"/>
  <c r="A13" i="16"/>
  <c r="J4" i="16"/>
  <c r="A4" i="16"/>
  <c r="A3" i="16"/>
  <c r="M349" i="16" l="1"/>
  <c r="O19" i="12"/>
  <c r="F20" i="15" l="1"/>
  <c r="G17" i="15"/>
  <c r="G18" i="15" s="1"/>
  <c r="F17" i="15"/>
  <c r="A11" i="15"/>
  <c r="A10" i="15"/>
  <c r="G21" i="15" l="1"/>
  <c r="G22" i="15" s="1"/>
  <c r="G23" i="15" s="1"/>
  <c r="F21" i="15"/>
  <c r="G24" i="15" l="1"/>
  <c r="G25" i="15" s="1"/>
  <c r="G26" i="15" s="1"/>
  <c r="G34" i="9"/>
  <c r="G47" i="13"/>
  <c r="G48" i="13" s="1"/>
  <c r="F47" i="13"/>
  <c r="G46" i="13"/>
  <c r="F46" i="13"/>
  <c r="H45" i="13"/>
  <c r="H44" i="13"/>
  <c r="H43" i="13"/>
  <c r="H42" i="13"/>
  <c r="F33" i="13"/>
  <c r="D33" i="13"/>
  <c r="H32" i="13"/>
  <c r="H31" i="13"/>
  <c r="H30" i="13"/>
  <c r="H29" i="13"/>
  <c r="H28" i="13"/>
  <c r="G27" i="13"/>
  <c r="G33" i="13" s="1"/>
  <c r="G34" i="13" s="1"/>
  <c r="E27" i="13"/>
  <c r="H27" i="13" s="1"/>
  <c r="H26" i="13"/>
  <c r="F24" i="13"/>
  <c r="F34" i="13" s="1"/>
  <c r="E24" i="13"/>
  <c r="D24" i="13"/>
  <c r="D34" i="13" s="1"/>
  <c r="H23" i="13"/>
  <c r="H24" i="13" s="1"/>
  <c r="E33" i="13" l="1"/>
  <c r="E34" i="13" s="1"/>
  <c r="G38" i="13"/>
  <c r="G35" i="13"/>
  <c r="D41" i="13"/>
  <c r="D35" i="13"/>
  <c r="D37" i="13"/>
  <c r="F38" i="13"/>
  <c r="F35" i="13"/>
  <c r="F39" i="13" s="1"/>
  <c r="F48" i="13" s="1"/>
  <c r="F57" i="13" s="1"/>
  <c r="H33" i="13"/>
  <c r="H34" i="13" s="1"/>
  <c r="E35" i="13" l="1"/>
  <c r="H35" i="13" s="1"/>
  <c r="E38" i="13"/>
  <c r="E41" i="13" s="1"/>
  <c r="E46" i="13" s="1"/>
  <c r="G39" i="13"/>
  <c r="H38" i="13"/>
  <c r="E39" i="13"/>
  <c r="E47" i="13" s="1"/>
  <c r="H47" i="13" s="1"/>
  <c r="F58" i="13"/>
  <c r="F59" i="13"/>
  <c r="D38" i="13"/>
  <c r="D39" i="13" s="1"/>
  <c r="H37" i="13"/>
  <c r="H41" i="13"/>
  <c r="H46" i="13" s="1"/>
  <c r="D46" i="13"/>
  <c r="D47" i="13" l="1"/>
  <c r="D48" i="13"/>
  <c r="D57" i="13" s="1"/>
  <c r="F60" i="13"/>
  <c r="F61" i="13"/>
  <c r="E48" i="13"/>
  <c r="H39" i="13"/>
  <c r="D58" i="13" l="1"/>
  <c r="D59" i="13"/>
  <c r="E57" i="13"/>
  <c r="H48" i="13"/>
  <c r="G50" i="13" s="1"/>
  <c r="G51" i="13" l="1"/>
  <c r="H51" i="13" s="1"/>
  <c r="D60" i="13"/>
  <c r="D61" i="13" s="1"/>
  <c r="E58" i="13"/>
  <c r="E59" i="13" s="1"/>
  <c r="B42" i="12"/>
  <c r="F35" i="12"/>
  <c r="O35" i="12"/>
  <c r="J36" i="12" s="1"/>
  <c r="O36" i="12" s="1"/>
  <c r="O41" i="12" s="1"/>
  <c r="F30" i="4" s="1"/>
  <c r="E60" i="13" l="1"/>
  <c r="E61" i="13" s="1"/>
  <c r="G52" i="13"/>
  <c r="H50" i="13"/>
  <c r="H52" i="13" s="1"/>
  <c r="H53" i="13" s="1"/>
  <c r="O43" i="12"/>
  <c r="O46" i="12"/>
  <c r="O47" i="12" s="1"/>
  <c r="G44" i="12" l="1"/>
  <c r="O44" i="12" s="1"/>
  <c r="E43" i="3" l="1"/>
  <c r="E45" i="3" s="1"/>
  <c r="E42" i="3"/>
  <c r="D18" i="3"/>
  <c r="D17" i="3"/>
  <c r="H17" i="3" s="1"/>
  <c r="G30" i="4"/>
  <c r="G37" i="4" s="1"/>
  <c r="G29" i="4"/>
  <c r="E50" i="6"/>
  <c r="E52" i="6" s="1"/>
  <c r="E49" i="6"/>
  <c r="H27" i="6"/>
  <c r="D24" i="6"/>
  <c r="G24" i="6" s="1"/>
  <c r="D23" i="6"/>
  <c r="H23" i="6" s="1"/>
  <c r="M43" i="9"/>
  <c r="F42" i="9"/>
  <c r="G42" i="9" s="1"/>
  <c r="F36" i="9"/>
  <c r="C35" i="9"/>
  <c r="C36" i="9" s="1"/>
  <c r="G32" i="9"/>
  <c r="G31" i="9"/>
  <c r="G30" i="9"/>
  <c r="G26" i="9"/>
  <c r="G28" i="9" s="1"/>
  <c r="G25" i="9"/>
  <c r="G24" i="9"/>
  <c r="F23" i="9"/>
  <c r="G23" i="9" s="1"/>
  <c r="E51" i="6" l="1"/>
  <c r="E53" i="6" s="1"/>
  <c r="H35" i="6" s="1"/>
  <c r="G18" i="3"/>
  <c r="H18" i="3"/>
  <c r="E44" i="3"/>
  <c r="E46" i="3" s="1"/>
  <c r="E48" i="3" s="1"/>
  <c r="H29" i="3" s="1"/>
  <c r="G23" i="6"/>
  <c r="G17" i="3"/>
  <c r="G35" i="9"/>
  <c r="G36" i="9" s="1"/>
  <c r="G21" i="3"/>
  <c r="H21" i="3"/>
  <c r="G31" i="6"/>
  <c r="G29" i="6"/>
  <c r="G27" i="6"/>
  <c r="H31" i="6"/>
  <c r="H29" i="6"/>
  <c r="F37" i="4"/>
  <c r="G25" i="3" l="1"/>
  <c r="H23" i="3"/>
  <c r="G23" i="3"/>
  <c r="H32" i="6"/>
  <c r="H34" i="6" s="1"/>
  <c r="H36" i="6" s="1"/>
  <c r="H25" i="3"/>
  <c r="H26" i="3" s="1"/>
  <c r="H28" i="3" s="1"/>
  <c r="H37" i="6" l="1"/>
  <c r="H38" i="6"/>
  <c r="H31" i="4" s="1"/>
  <c r="H30" i="3"/>
  <c r="F44" i="9"/>
  <c r="G44" i="9" s="1"/>
  <c r="F41" i="9"/>
  <c r="G41" i="9" s="1"/>
  <c r="F43" i="9"/>
  <c r="G43" i="9" s="1"/>
  <c r="G56" i="13" l="1"/>
  <c r="H55" i="13"/>
  <c r="H30" i="4"/>
  <c r="H31" i="3"/>
  <c r="H32" i="3" s="1"/>
  <c r="C26" i="12"/>
  <c r="F40" i="9"/>
  <c r="G40" i="9" s="1"/>
  <c r="H56" i="13" l="1"/>
  <c r="H57" i="13" s="1"/>
  <c r="H58" i="13" s="1"/>
  <c r="H59" i="13" s="1"/>
  <c r="H60" i="13" s="1"/>
  <c r="H61" i="13" s="1"/>
  <c r="D13" i="13" s="1"/>
  <c r="G57" i="13"/>
  <c r="G58" i="13" s="1"/>
  <c r="G59" i="13" s="1"/>
  <c r="E37" i="4"/>
  <c r="L21" i="12"/>
  <c r="C7" i="9"/>
  <c r="H37" i="4"/>
  <c r="H38" i="4" s="1"/>
  <c r="H39" i="4" s="1"/>
  <c r="I59" i="13" l="1"/>
  <c r="G60" i="13"/>
  <c r="G61" i="13" s="1"/>
</calcChain>
</file>

<file path=xl/comments1.xml><?xml version="1.0" encoding="utf-8"?>
<comments xmlns="http://schemas.openxmlformats.org/spreadsheetml/2006/main">
  <authors>
    <author>Автор</author>
  </authors>
  <commentList>
    <comment ref="I1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Если длинна трассы от 1 до 5 км, то сюда ставим К = 1,2; если свыше 5 до 10 км, то К=1,1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I2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Если длинна трассы от 1 до 5 км, то сюда ставим К = 1,2; если свыше 5 до 10 км, то К=1,1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A1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</commentList>
</comments>
</file>

<file path=xl/sharedStrings.xml><?xml version="1.0" encoding="utf-8"?>
<sst xmlns="http://schemas.openxmlformats.org/spreadsheetml/2006/main" count="902" uniqueCount="561">
  <si>
    <t>СОГЛАСОВАНО</t>
  </si>
  <si>
    <t>УТВЕРЖДАЮ</t>
  </si>
  <si>
    <t>"______"_______________________201   г.</t>
  </si>
  <si>
    <t>Смета  №2</t>
  </si>
  <si>
    <t>на проектно-изыскательские работы по объекту:</t>
  </si>
  <si>
    <t>№,</t>
  </si>
  <si>
    <t>Характеристика</t>
  </si>
  <si>
    <t xml:space="preserve">№,№ частей, глав, таблиц и </t>
  </si>
  <si>
    <t>Расчёт стоимости</t>
  </si>
  <si>
    <t>Стоимость</t>
  </si>
  <si>
    <t>№</t>
  </si>
  <si>
    <t>предприятия, здания,</t>
  </si>
  <si>
    <t xml:space="preserve">пунктов указаний к разделу </t>
  </si>
  <si>
    <t>(а+вх)хК; или</t>
  </si>
  <si>
    <t>п/п</t>
  </si>
  <si>
    <t>сооружения или виды</t>
  </si>
  <si>
    <t>или главе сборника цен на</t>
  </si>
  <si>
    <t>объем СМРх%100</t>
  </si>
  <si>
    <t>(руб.)</t>
  </si>
  <si>
    <t>работ</t>
  </si>
  <si>
    <t>проектные работы для</t>
  </si>
  <si>
    <t>или кол-во х цена</t>
  </si>
  <si>
    <t>строительства</t>
  </si>
  <si>
    <t>(ед.изм.стоимости)</t>
  </si>
  <si>
    <t xml:space="preserve">Предварительная стоимость </t>
  </si>
  <si>
    <t>Справочник базовых цен</t>
  </si>
  <si>
    <t>-</t>
  </si>
  <si>
    <t>(</t>
  </si>
  <si>
    <t>)</t>
  </si>
  <si>
    <t>/</t>
  </si>
  <si>
    <t xml:space="preserve">т.руб </t>
  </si>
  <si>
    <t>на проектные работы для стр-ва</t>
  </si>
  <si>
    <t>х</t>
  </si>
  <si>
    <t>Объекты энергетики. 2003г.</t>
  </si>
  <si>
    <t>табл.12</t>
  </si>
  <si>
    <t>Стоимость в ценах на 01.01.2001 г.</t>
  </si>
  <si>
    <t>СМР</t>
  </si>
  <si>
    <t>Прочие</t>
  </si>
  <si>
    <t>К1</t>
  </si>
  <si>
    <t>К2 реконструкция</t>
  </si>
  <si>
    <t>К3 коэффициент объема (т. А12)</t>
  </si>
  <si>
    <t>Общий коэффициент</t>
  </si>
  <si>
    <t xml:space="preserve">Стоимость проектных работ </t>
  </si>
  <si>
    <t xml:space="preserve">Письмо Минстроя России </t>
  </si>
  <si>
    <t>сметной стоимости</t>
  </si>
  <si>
    <t xml:space="preserve">Всего </t>
  </si>
  <si>
    <t>ОВОС</t>
  </si>
  <si>
    <t>п.1.7 оценка на окружающую среду -4%</t>
  </si>
  <si>
    <t>Выбор места строительства, проведение изыскательских работ, в том числе геологических, геодезических.</t>
  </si>
  <si>
    <t>п.1.8 для линейных сооружений К-0,35</t>
  </si>
  <si>
    <t>НДС 18%</t>
  </si>
  <si>
    <t>Всего с НДС</t>
  </si>
  <si>
    <t>Смету составил</t>
  </si>
  <si>
    <t>Проверил</t>
  </si>
  <si>
    <t>"_____"________________201     г.</t>
  </si>
  <si>
    <t>"_____"________________201    г.</t>
  </si>
  <si>
    <t>Смета №8</t>
  </si>
  <si>
    <t>на выполнение работ</t>
  </si>
  <si>
    <t>Изыскания линий электропередачи. Подземные кабельные линии: электропередачи 0,4-20 кВ и связи</t>
  </si>
  <si>
    <t>Наименование проектной организации</t>
  </si>
  <si>
    <t>Наименование организации Заказчика</t>
  </si>
  <si>
    <t>ПАО " МРСК Центра" - "Тверьэнерго"</t>
  </si>
  <si>
    <t>№ п/п</t>
  </si>
  <si>
    <t>Наименование видов работ</t>
  </si>
  <si>
    <t>Единица измерения</t>
  </si>
  <si>
    <t>объем работ</t>
  </si>
  <si>
    <t>Норма затрат труда на ед.изм., рублей</t>
  </si>
  <si>
    <t>№№ таблиц, примечаний и приложений к СБЦ Инженерно-геодезические изыскания, 01.01.2004 г</t>
  </si>
  <si>
    <t>Всего, рублей</t>
  </si>
  <si>
    <t>Табл.</t>
  </si>
  <si>
    <t>километраж линии</t>
  </si>
  <si>
    <t>Изыскание трасс воздушных кабельных линий электропередач</t>
  </si>
  <si>
    <t>полевые(км)</t>
  </si>
  <si>
    <t>7913*Ка*Кв*длину линии=</t>
  </si>
  <si>
    <t>камеральные (км)</t>
  </si>
  <si>
    <t>4889*Кб*Ке*длину линии=</t>
  </si>
  <si>
    <t>длинна трассы до 1 км (к полевым работам)</t>
  </si>
  <si>
    <t>На полевые Ка-1,5 - при длине трассы до 1 км; К= 1,2 - при длине трассы от 1 до 5 км; К - 1,1 - при длинне трассы от 5 до 10 км.
Кв-1,3 - табл.2 парагр.2 - неблагоприятный период
На камеральные работы  п.15 Общих указаний:
Кб - 1,1 - использованием материалов ограниченного пользования;
Ке - 1,75 - составлением планов (продольных профилей) в двух видах: на магнитном и бумажном носителях</t>
  </si>
  <si>
    <t>Внутренний  транспорт</t>
  </si>
  <si>
    <t>21,25% -  расстояние от базы до места изысканий до 50 км, стоимость полевых работ до 75 т.р. от стоимости полевых работ</t>
  </si>
  <si>
    <t>Внешний  транспорт</t>
  </si>
  <si>
    <t>п.</t>
  </si>
  <si>
    <t>п.15 е оставлением планов (продольных профилей) в двух видах: на магнитном и бумажном носителях</t>
  </si>
  <si>
    <t>Ликвидация работ</t>
  </si>
  <si>
    <t>6% от стоимости полевых работ</t>
  </si>
  <si>
    <t>стоимость полевых работ + внутренний транспорт  * 6%=</t>
  </si>
  <si>
    <t>п.15 б  использованием материалов ограниченного пользования;</t>
  </si>
  <si>
    <t>Итого  в базовых ценах</t>
  </si>
  <si>
    <t>индекс пересчета</t>
  </si>
  <si>
    <t>ИТОГО  в текущих ценах</t>
  </si>
  <si>
    <t>табл.2 парагр.2 - неблагоприятный период</t>
  </si>
  <si>
    <t>Проезд к месту обследования и обратно (см.Расчет стоимости переездов ниже)</t>
  </si>
  <si>
    <t>продолжительность полевых работ до 1 месяца</t>
  </si>
  <si>
    <t>ликвидация работ от стоимости полевых работ</t>
  </si>
  <si>
    <t>Приложение 1</t>
  </si>
  <si>
    <t>к смете выполнения работ</t>
  </si>
  <si>
    <t>РАСЧЕТ СТОИМОСТИ ПЕРЕЕЗДОВ 
для проведения необходимых согласований при производстве отдельных видов полевых работ и при согласовании плана поземных коммуникаций, в том числе получение технических условий на пересечениях, сближениях и т.д. с сетями инженерно-технического обеспечения и сетями тепло и – электроснабжения.</t>
  </si>
  <si>
    <t>Автомобиль УАЗ -  (32 км / 40 км/ч * 8 раз = 6,4 маш.ч. * 909,62 руб.</t>
  </si>
  <si>
    <t>руб.</t>
  </si>
  <si>
    <t>Проезд бригады - 4 чел - 224,01 руб *4 чел * 6,4 часов =</t>
  </si>
  <si>
    <t>Накладные расходы 80% на ЗП</t>
  </si>
  <si>
    <t>Сметная прибыль 50% на ЗП</t>
  </si>
  <si>
    <t>Итого проезды</t>
  </si>
  <si>
    <t>Командировочные расходы -  112 руб * 3 чел * 2 дн =</t>
  </si>
  <si>
    <t>Примечание:</t>
  </si>
  <si>
    <r>
      <rPr>
        <sz val="7"/>
        <rFont val="Times New Roman"/>
        <family val="1"/>
        <charset val="204"/>
      </rPr>
      <t xml:space="preserve">       </t>
    </r>
    <r>
      <rPr>
        <sz val="11"/>
        <rFont val="Calibri"/>
        <family val="2"/>
        <charset val="204"/>
      </rPr>
      <t>Расчет стоимости проездов, приведенных  в  Приложении 1 к сметной документации,  произведен в текущих ценах и помещен под сметой отдельным Разделом, т.к. согласно п.21 Общих указаний «…расходы, определяемые в ценах текущего периода включаются в общую смету отдельными разделом.». Данные расходы  направлены на проведение необходимых согласований при производстве отдельных видов полевых работ и при согласовании плана поземных коммуникаций (согласно п.12 Общих указаний). В том числе получение технических условий на пересечениях, сближениях и т.д. с сетями инженерно-технического обеспечения и сетями тепло и – электроснабжения.</t>
    </r>
  </si>
  <si>
    <t>Примечание 2:</t>
  </si>
  <si>
    <t>До объекта 32 км,  туда и обратно 4 раза 256 км, следовательно  туда и обратно 4 раза 32*8/40 =6,4 маш.ч.  Внутренний транспорт взят исходя из расчета 32 км.Внешний тарнспорт менее 25км</t>
  </si>
  <si>
    <t>Итого с НДС</t>
  </si>
  <si>
    <t xml:space="preserve"> </t>
  </si>
  <si>
    <t>2</t>
  </si>
  <si>
    <t>1</t>
  </si>
  <si>
    <t>Базовая цена 2001г.</t>
  </si>
  <si>
    <t>Всего</t>
  </si>
  <si>
    <t>Проектных</t>
  </si>
  <si>
    <t>Изыскательских</t>
  </si>
  <si>
    <t>Стоимость работ</t>
  </si>
  <si>
    <t>Ссылка на №№ смет по формам 2П и 3П</t>
  </si>
  <si>
    <t>Характеристика проектируемого объекта</t>
  </si>
  <si>
    <t>Перечень выполняемых работ</t>
  </si>
  <si>
    <t xml:space="preserve"> № сметы</t>
  </si>
  <si>
    <r>
      <t xml:space="preserve">Наименование организации заказчика:                  </t>
    </r>
    <r>
      <rPr>
        <u/>
        <sz val="10"/>
        <rFont val="Times New Roman"/>
        <family val="1"/>
        <charset val="204"/>
      </rPr>
      <t xml:space="preserve">  филиал ОАО "ФСК ЕЭС"-МЭС Северо-Запада  </t>
    </r>
  </si>
  <si>
    <r>
      <t xml:space="preserve">Наименование проектной организации - генерального проектировщика:  </t>
    </r>
    <r>
      <rPr>
        <u/>
        <sz val="9"/>
        <rFont val="Times New Roman"/>
        <family val="1"/>
        <charset val="204"/>
      </rPr>
      <t xml:space="preserve">ОАО "Смоленскэнергоремонт"  </t>
    </r>
  </si>
  <si>
    <t>затрат на  проектные и изыскательские работы (Глава 12 ССР)</t>
  </si>
  <si>
    <t xml:space="preserve">           Сводная ведомость </t>
  </si>
  <si>
    <t>«______»____________________ 201    г.</t>
  </si>
  <si>
    <t>«______»____________________ 201  г.</t>
  </si>
  <si>
    <t>__________________</t>
  </si>
  <si>
    <t>_______________</t>
  </si>
  <si>
    <t>«УТВЕРЖДАЮ»</t>
  </si>
  <si>
    <t>«СОГЛАСОВАНО»</t>
  </si>
  <si>
    <t>Характеристика предприятия, 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</si>
  <si>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</si>
  <si>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</si>
  <si>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Стоимость работ, тыс. руб.</t>
  </si>
  <si>
    <t>Объекты энергетики. РАО ЕЭС. 2004 г. Табл.12</t>
  </si>
  <si>
    <t>Стадия - "Рабочий проект" = 100%;</t>
  </si>
  <si>
    <t>"_____"________________2017 г.</t>
  </si>
  <si>
    <t>Смета</t>
  </si>
  <si>
    <t>Филиал ПАО "МРСК Центра"-"Тверьэнерго"</t>
  </si>
  <si>
    <t>18,75% -  расстояние от базы до места изысканий от 20 до 30 км, стоимость полевых работ до 75 т.р. от стоимости полевых работ</t>
  </si>
  <si>
    <t>стоимость полевых работ * 18,75%=</t>
  </si>
  <si>
    <t>14% -продолжительность полевых работ до 1 месяца, от стоимости полевых работ</t>
  </si>
  <si>
    <t>стоимость полевых работ + внутренний транспорт * 14%=</t>
  </si>
  <si>
    <t>расстояние от базы до места изысканий до 5 км, стоимость полевых работ до 75 т.р.</t>
  </si>
  <si>
    <t>Автомобиль УАЗ -  (40 км / 40 км/ч * 2 раза = 2,00 маш.ч. * 674,37 руб.</t>
  </si>
  <si>
    <t>Проезд бригады - 3 чел - 205,33 руб  руб * 3 чел * 2,00 часов =</t>
  </si>
  <si>
    <t>Примечание:1</t>
  </si>
  <si>
    <r>
      <t xml:space="preserve">До объекта 40 км,  туда и обратно 80 км, следовательно два раза туда и обратно 80/40 = 2,00 маш.ч. </t>
    </r>
    <r>
      <rPr>
        <sz val="11"/>
        <color indexed="8"/>
        <rFont val="Calibri"/>
        <family val="2"/>
        <charset val="204"/>
      </rPr>
      <t xml:space="preserve"> Внешний тарнспорт взят  по п.1 св.25 до 100 км- 14% </t>
    </r>
  </si>
  <si>
    <t>Подготовительные работы</t>
  </si>
  <si>
    <t>Составил</t>
  </si>
  <si>
    <t>ПРОГРАММНЫЙ КОМПЛЕКС АВС-3РС</t>
  </si>
  <si>
    <t>___________________2017г.</t>
  </si>
  <si>
    <t>Сводный сметный расчет в сумме                      тыс. руб.</t>
  </si>
  <si>
    <t>ПРЕДВАРИТЕЛЬНЫЙ  СМЕТНЫЙ РАСЧЕТ СТОИМОСТИ   СТРОИТЕЛЬСТВА №2.1</t>
  </si>
  <si>
    <t>для объекта: Строительство  КЛ 6 кВ 4,6 км</t>
  </si>
  <si>
    <t xml:space="preserve">«СБОРНИК УКРУПНЕННЫХ ПОКАЗАТЕЛЕЙ СТОИМОСТИ СТРОИТЕЛЬСТВА (РЕКОНСТРУКЦИИ) </t>
  </si>
  <si>
    <t>НАИМЕНОВАНИЕ ЧАСТЕЙ, ГЛАВ, ОБЪЕКТОВ РАБОТ И ЗАТРАТ</t>
  </si>
  <si>
    <t>СМЕТНАЯ СТОИМОСТЬ, ТЫС. РУБ.</t>
  </si>
  <si>
    <t>ОБЩАЯ СМЕТНАЯ СТОИ-МОСТЬ,        ТЫС. РУБ.</t>
  </si>
  <si>
    <t>Обоснование</t>
  </si>
  <si>
    <t>Ед. изм.</t>
  </si>
  <si>
    <t xml:space="preserve"> кол-во</t>
  </si>
  <si>
    <t>Укрупненные показатели стоимости ПС</t>
  </si>
  <si>
    <t>ГЛАВА 1. ПОДГОТОВКА ТЕРРИТОРИИ СТРОИТЕЛЬСТВА</t>
  </si>
  <si>
    <t>п.4.7</t>
  </si>
  <si>
    <t>%</t>
  </si>
  <si>
    <t xml:space="preserve">Арендная плата земельного участка </t>
  </si>
  <si>
    <t>Арендная плата земельного участка   1770/1,18/6,82=219,94 тыс.руб.</t>
  </si>
  <si>
    <t>Расчистка просеки по трассам ВЛ 10 кВ</t>
  </si>
  <si>
    <t>таблица 3</t>
  </si>
  <si>
    <t>км.</t>
  </si>
  <si>
    <t>ИТОГО ПО ГЛАВЕ 1</t>
  </si>
  <si>
    <t>ГЛАВА 2. ОСНОВНЫЕ ОБЪЕКТЫ СТРОИТЕЛЬСТВА</t>
  </si>
  <si>
    <t xml:space="preserve"> Замена масляных выключателей 35 кВ на элегазовые </t>
  </si>
  <si>
    <t>таблица 18</t>
  </si>
  <si>
    <t>шт.</t>
  </si>
  <si>
    <t>Стоимость ВЛ 35кВ , провод АС (временная схема) 1 цепь</t>
  </si>
  <si>
    <t>таблица 2</t>
  </si>
  <si>
    <t>ИТОГО ПО ГЛАВЕ 2</t>
  </si>
  <si>
    <t>ИТОГО ПО ГЛАВАМ 1-2</t>
  </si>
  <si>
    <t>Строительно-монтажные работы</t>
  </si>
  <si>
    <t>ПИР</t>
  </si>
  <si>
    <t>Пусконаладочные работы</t>
  </si>
  <si>
    <t>ГЛАВА 5 Перевод в текущие цены</t>
  </si>
  <si>
    <t>Письмо Минстроя России №35948-хм/09 от 05.10.2017г.</t>
  </si>
  <si>
    <t>Оборудование</t>
  </si>
  <si>
    <t>Письмо Минстроя России №8802-хм/09 от 20.03.2017г.</t>
  </si>
  <si>
    <t>НДС-18%</t>
  </si>
  <si>
    <t>ведущий специалист УИ</t>
  </si>
  <si>
    <t xml:space="preserve">Стоимость КЛ 10кВ </t>
  </si>
  <si>
    <t>таблица К-1, 
К1-08</t>
  </si>
  <si>
    <t>Строительство КЛ методом ГНБ (368м)</t>
  </si>
  <si>
    <t>Форма № 1</t>
  </si>
  <si>
    <t>"Согласовано"</t>
  </si>
  <si>
    <t>"Утверждаю"</t>
  </si>
  <si>
    <t xml:space="preserve">______________ </t>
  </si>
  <si>
    <t>_______________________</t>
  </si>
  <si>
    <t>'____' ___________ 201    г.</t>
  </si>
  <si>
    <t>'____' ___________ 201     г.</t>
  </si>
  <si>
    <t>Сводный сметный расчет в сумме</t>
  </si>
  <si>
    <t>(ссылка на документ об утверждении)</t>
  </si>
  <si>
    <t>СВОДНЫЙ СМЕТНЫЙ РАСЧЕТ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</si>
  <si>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</si>
  <si>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</si>
  <si>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</si>
  <si>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</si>
  <si>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</si>
  <si>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</si>
  <si>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</si>
  <si>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</si>
  <si>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</si>
  <si>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1.</t>
  </si>
  <si>
    <t>Подготовка территории строительства</t>
  </si>
  <si>
    <t>ЛС№</t>
  </si>
  <si>
    <t>ИТОГО ПО ГЛАВЕ 1:</t>
  </si>
  <si>
    <t>Глава 2.</t>
  </si>
  <si>
    <t>Основные объекты строительства</t>
  </si>
  <si>
    <t>ЛС№1</t>
  </si>
  <si>
    <t>Строительство ВЛ 35 кВ (21 км)</t>
  </si>
  <si>
    <t>ЛС№ 1</t>
  </si>
  <si>
    <t>Строительство КЛ-10кВ (ГНБ)</t>
  </si>
  <si>
    <t>ЛС№ 13</t>
  </si>
  <si>
    <t>ЛС№ 15</t>
  </si>
  <si>
    <t>Устройство фундаментов под оборудование ПС Луч</t>
  </si>
  <si>
    <t>ЛС№ 16</t>
  </si>
  <si>
    <t>Монтаж вторичных цепей РЗиА ПС Луч</t>
  </si>
  <si>
    <t>ЛС№ 17</t>
  </si>
  <si>
    <t>Ограждение ПС Луч</t>
  </si>
  <si>
    <t>ИТОГО ПО ГЛАВЕ 2:</t>
  </si>
  <si>
    <t>Итого по Главам1-7</t>
  </si>
  <si>
    <t>Глава 8.</t>
  </si>
  <si>
    <t>Временные здания и сооружения.</t>
  </si>
  <si>
    <t>ГСН 81-05-01-2001</t>
  </si>
  <si>
    <t>Средства на строительство временных зданий и соружений 3,9%</t>
  </si>
  <si>
    <t>Итого по главе 8</t>
  </si>
  <si>
    <t>Итого по главе 8 с учетом индексов пересчета</t>
  </si>
  <si>
    <t>Глава 9.</t>
  </si>
  <si>
    <t>Прочие работы и затраты.</t>
  </si>
  <si>
    <t>ГСН 81-05-02-2001пр1п2.4</t>
  </si>
  <si>
    <t>Дополнительные затраты при производстве работ в зимнее время 2,1%</t>
  </si>
  <si>
    <t>ЛС №2</t>
  </si>
  <si>
    <t xml:space="preserve">Пусконаладочные работы </t>
  </si>
  <si>
    <t>ЛС № 3</t>
  </si>
  <si>
    <t>Проезды</t>
  </si>
  <si>
    <t xml:space="preserve">ТЗР </t>
  </si>
  <si>
    <t>Рассчет</t>
  </si>
  <si>
    <t>Командировочные расходы</t>
  </si>
  <si>
    <t>Итого по главе 9</t>
  </si>
  <si>
    <t>Итого по Главам1-9 с учетом индексов пересчета</t>
  </si>
  <si>
    <t>Глава 10</t>
  </si>
  <si>
    <t>Содержание службы заказчика-застройщика</t>
  </si>
  <si>
    <t>Расходы Заказчика на осуществление строительного контроля при строительстве объектов капитального строительства, финансируемых из средств федерального бюджета - 2,14% от общей стоимости Глав 1-9</t>
  </si>
  <si>
    <t>Итого по Главе 10</t>
  </si>
  <si>
    <t>Глава 12.</t>
  </si>
  <si>
    <t xml:space="preserve">Проектные и изыскательские работы </t>
  </si>
  <si>
    <t>смета</t>
  </si>
  <si>
    <t xml:space="preserve">Средства на оплату проектных и изыскательских работ </t>
  </si>
  <si>
    <t>Итого по Главе 12</t>
  </si>
  <si>
    <t>Итого по Главам 1-12</t>
  </si>
  <si>
    <t>Непредвиденные расходы 3%</t>
  </si>
  <si>
    <t>ИТОГО:</t>
  </si>
  <si>
    <t>Средства на покрытие затрат по уплате налога на добавленную стоимость 18%</t>
  </si>
  <si>
    <t>Итого по сводному расчету:</t>
  </si>
  <si>
    <t>Заказчик</t>
  </si>
  <si>
    <t>таблица К-1, 
К1-06</t>
  </si>
  <si>
    <t>ПОДСТАНЦИЙ И ЛИНИЙ ЭЛЕКТРОПЕРЕДАЧИ ДЛЯ НУЖД ОАО МРСК ЦЕНТРА» 2016</t>
  </si>
  <si>
    <t>Строительство  КЛ 10 кВ 4,6 км</t>
  </si>
  <si>
    <t>Строительство  КЛ 10 кВ 2,96 км</t>
  </si>
  <si>
    <t>расценки</t>
  </si>
  <si>
    <t>10% от</t>
  </si>
  <si>
    <t>Наименование работ и затрат</t>
  </si>
  <si>
    <t>Кол-во</t>
  </si>
  <si>
    <t>Номер частей, глав, таблиц, процентов, параграфов и пунктов указаний к разделу Справочника базовых цен на проектные работы для строительства</t>
  </si>
  <si>
    <t>Расчет стоимости</t>
  </si>
  <si>
    <t>Стоимость работ, руб.</t>
  </si>
  <si>
    <t>I</t>
  </si>
  <si>
    <t>Полевые работы</t>
  </si>
  <si>
    <t>Застроенная территория.
Масштаб съемки 1:500.
Высота сечения рельефа 0,25 м
(II категория сложности)</t>
  </si>
  <si>
    <t>1 га</t>
  </si>
  <si>
    <t>Итого полевых работ</t>
  </si>
  <si>
    <t>II</t>
  </si>
  <si>
    <t>Камеральные работы</t>
  </si>
  <si>
    <t>Застроенная территория.
Масштаб съемки 1:500.
Высота сечения рельефа 0,25 м.
(II категория сложности)</t>
  </si>
  <si>
    <t>"СБЦ на инженерно-геодезические  изыскания для строительства" 2001г. Табл.9 п.5
- 1,3 -  коэффициент применяемый при нанесении "красных линий" или линий регулирования застройки при создании инженерно-топографических планов застроенной и незастроенной территории с предварительным аналитическим расчётом их координат  (примеч.6 к табл.9)
- 1,75 - коэффициент применяемый при выполнении картографических работ с составлением планов (продольных профилей) в двух видах: на магнитном и бумажном носителях (ОУС п.15е)</t>
  </si>
  <si>
    <t>Составление технического отчета геодезических изысканий
Стоимость работ 2,070 тыс. руб.
(до 100 тыс. руб.)</t>
  </si>
  <si>
    <t>1 отчет</t>
  </si>
  <si>
    <t>"СБЦ на инженерно-геодезические изыскания для строительства" 2001г. Табл.79 п.2</t>
  </si>
  <si>
    <t>Итого камеральных работ</t>
  </si>
  <si>
    <t>III</t>
  </si>
  <si>
    <t>Итого по смете в ценах I кв. 2001 г.</t>
  </si>
  <si>
    <t>IV</t>
  </si>
  <si>
    <t>Итого по смете в текущих ценах</t>
  </si>
  <si>
    <t>Составил:_____________________________</t>
  </si>
  <si>
    <t>Проверил:___________________________________________</t>
  </si>
  <si>
    <t>Строительство КЛ-10кВ от  резервной ячейки 3 секции шин  ПС 110/35/10кВ Южная до внешней границы земельного участка                                       ( 0,368 км-( ГНБ))</t>
  </si>
  <si>
    <t>Строительство кабельной линии 10 кВ  ( 0,38 км )</t>
  </si>
  <si>
    <t>Индекс 1 кв.2018 г =</t>
  </si>
  <si>
    <t>Расчет составлен в прогнозных ценах ТЕР на 1 квартал 2018г.</t>
  </si>
  <si>
    <t>в ценах на 1 кв.2018г</t>
  </si>
  <si>
    <t>К=3,83 индекс изменения</t>
  </si>
  <si>
    <t>№13606-хм/09 от 04.04.2018г.</t>
  </si>
  <si>
    <t>индекс пересчета на 1 кв.2018г</t>
  </si>
  <si>
    <t>3,83-  коэффициент I кв. 2001г. / 1 кв. 2018г. по письму Минрегиона России от 04.04.2018 г № 13606-ХМ/09</t>
  </si>
  <si>
    <t>Согласовано</t>
  </si>
  <si>
    <t>Утверждаю</t>
  </si>
  <si>
    <t>'____' ___________ 2018 г.</t>
  </si>
  <si>
    <t>Л О К А Л Ь Н А Я   С М Е Т А</t>
  </si>
  <si>
    <t>БАЗОВЫЕ</t>
  </si>
  <si>
    <t>ТЕКУЩИЕ</t>
  </si>
  <si>
    <t xml:space="preserve">Сметная стоимость </t>
  </si>
  <si>
    <t>тыс. руб.</t>
  </si>
  <si>
    <t xml:space="preserve">строительных работ </t>
  </si>
  <si>
    <t xml:space="preserve">монтажных работ </t>
  </si>
  <si>
    <t xml:space="preserve">оборудования </t>
  </si>
  <si>
    <t xml:space="preserve">прочих работ </t>
  </si>
  <si>
    <t xml:space="preserve">Нормативная трудоемкость </t>
  </si>
  <si>
    <t>чел.-ч.</t>
  </si>
  <si>
    <t>Смета составлена базисным методом</t>
  </si>
  <si>
    <t xml:space="preserve">Средства на оплату труда </t>
  </si>
  <si>
    <t>Шифр и номер позиции норматива</t>
  </si>
  <si>
    <t>Единица измер-ия</t>
  </si>
  <si>
    <t>Кол-во единиц</t>
  </si>
  <si>
    <t>Поправ. коэфф.</t>
  </si>
  <si>
    <t>Базовая цена (с учетом поправок), руб.</t>
  </si>
  <si>
    <t>Итоговая цена, руб.</t>
  </si>
  <si>
    <t>Пункт коэфф. пересчета</t>
  </si>
  <si>
    <t>Коэфф. пересчета</t>
  </si>
  <si>
    <t>Текущая цена, руб.</t>
  </si>
  <si>
    <t>Итог. затраты труда, чел.-час</t>
  </si>
  <si>
    <t>Раздел</t>
  </si>
  <si>
    <t>… Основная заработная плата</t>
  </si>
  <si>
    <t>… Эксплуатация машин и механизмов</t>
  </si>
  <si>
    <t xml:space="preserve">  … в т. ч. зарплата машинистов</t>
  </si>
  <si>
    <t>… Затраты труда строителей</t>
  </si>
  <si>
    <t>Накладные расходы от ФОТ</t>
  </si>
  <si>
    <t>Сметная прибыль от ФОТ</t>
  </si>
  <si>
    <t>… Стоимость материалов</t>
  </si>
  <si>
    <t>Итого по разделу:</t>
  </si>
  <si>
    <t>текущая цена</t>
  </si>
  <si>
    <t>Итого по локальной смете:</t>
  </si>
  <si>
    <t>Исполнил:</t>
  </si>
  <si>
    <t>Расценки согласованы:</t>
  </si>
  <si>
    <t>Содержание службы заказчика-застройщика 5,08%</t>
  </si>
  <si>
    <t>Строительство  КЛ 10 кВ  -ГНБ 0,38км</t>
  </si>
  <si>
    <t>Строительство  КЛ 10 кВ 2,97км. Проектные работы</t>
  </si>
  <si>
    <t>Строительство КЛ-10кВ от  резервной ячейки 3 секции шин  ПС 110/35/10кВ Южная до внешней границы земельного участка  и от новой линейной ячейки на 1 секции шин 10кВ РТП 10кВ " УФСИН" до внешней границы заявителя ( протяженность 2,92км+0,38 км( ГНБ)+0,05км)</t>
  </si>
  <si>
    <t>Текущая цена  1кв. 2018 г.</t>
  </si>
  <si>
    <t>Итого по смете в текущих ценах 1кв. 2018 г</t>
  </si>
  <si>
    <t>№13606-хм/09 от 04.04.2018г. Индекс изменения сметной стоимости 3,83</t>
  </si>
  <si>
    <t>Составлен в ценах по состоянию на 1 квартал 2018 г.</t>
  </si>
  <si>
    <t>Итого по Главам1-7 с учетом индексов пересчета в текущие цены 1 кв. 2018г:  КЛ-5,08;Оборудование - 4,43, Прочие работы - 8,72</t>
  </si>
  <si>
    <t>Итого по главе 9 с учетом индексов пересчета в текущие цены 1 кв. 2018г: ПНР - 14,29,  Прочие - 8,72</t>
  </si>
  <si>
    <t>ИТОГО по главам 1-10</t>
  </si>
  <si>
    <t>Мндекс изменения сметной стоимости</t>
  </si>
  <si>
    <t xml:space="preserve">№13606-хм/09 от 04.04.2018г. </t>
  </si>
  <si>
    <t>Сметная стоимость, млн.    ( текущая цена)</t>
  </si>
  <si>
    <t>Сметная стоимость (2001г)</t>
  </si>
  <si>
    <t>( стоимость гл.1-10)</t>
  </si>
  <si>
    <t>Подготовка места прокладки КЛ-10кВ ( в траншеи)</t>
  </si>
  <si>
    <t>таблица К-3</t>
  </si>
  <si>
    <t>строительства в ценах 1кв 2018г</t>
  </si>
  <si>
    <t>Непредвиденные расходы 10%</t>
  </si>
  <si>
    <t>ИТОГО</t>
  </si>
  <si>
    <t xml:space="preserve">п.15 д  выполнение работ с применением компьютерных технологий </t>
  </si>
  <si>
    <t>Непредвиденные затраты 10%</t>
  </si>
  <si>
    <t>Итого по смете</t>
  </si>
  <si>
    <t>14% -расстояние по внешнему транспорту менее 25 км</t>
  </si>
  <si>
    <t>стоимость полевых работ + внутренний транспорт *14%=</t>
  </si>
  <si>
    <t>расстояние от базы до места изысканий  то 5 км, стоимость полевых работ до 75 т.р.</t>
  </si>
  <si>
    <t>Инженерго-геодезические изыскания линий электропередачи. Подземные кабельные линии: электропередачи 0,4-20 кВ и связи</t>
  </si>
  <si>
    <t xml:space="preserve">Инженерно-экологические изыскания </t>
  </si>
  <si>
    <t xml:space="preserve">Топографические изыскания </t>
  </si>
  <si>
    <t>"СБЦ на инженерно-геодезические изыскания для строительства" 2001г. Табл.9п.5
- 1,55 - стоимость съёмки подземных коммуникаций с помощью приборов поиска (трубокабелеискателя) и составление плана подземных коммуникаций (примеч.4 к табл.9)</t>
  </si>
  <si>
    <t>Приложение № 6</t>
  </si>
  <si>
    <t xml:space="preserve"> Смета </t>
  </si>
  <si>
    <t xml:space="preserve">  на инженерно-геологические изыскания ВЛ 35 кВ</t>
  </si>
  <si>
    <t>Строительство ВЛ 35 кВ для обеспечения технологичекого присоединения энергопринимающих устройств ООО "Волжский берег"</t>
  </si>
  <si>
    <t>Наименование работ</t>
  </si>
  <si>
    <t>Ед.измерения</t>
  </si>
  <si>
    <t>Табл. и § СБЦ на инженерно-геологические и инженерно-экологические изыскания для строительства 1999г.</t>
  </si>
  <si>
    <t>Расчет</t>
  </si>
  <si>
    <t>Сумма</t>
  </si>
  <si>
    <t>1.</t>
  </si>
  <si>
    <t>Инженерно-геологическая, гидрогеологическая рекогносцировка при хорошей проходимости. II категория сложности</t>
  </si>
  <si>
    <t>1 км маршрута</t>
  </si>
  <si>
    <t>Табл.9 § 1</t>
  </si>
  <si>
    <t>2.</t>
  </si>
  <si>
    <t>1 м</t>
  </si>
  <si>
    <t xml:space="preserve">Гидрогеологические наблюдения при бурении скважины диаметром св. 168 до 273 мм, глубина скважины до 20 м
коэффициенты: 
- выполнение гидрогеологических наблюдений без "тартания";
</t>
  </si>
  <si>
    <t xml:space="preserve">СГЭ-99
Табл. 20, §3
п. 7, k = 0,6
</t>
  </si>
  <si>
    <t>1,80*0,60*8</t>
  </si>
  <si>
    <t xml:space="preserve">Отбор монолитов связных грунтов с глубины до 10 м для лабораторных исследований из буровых скважин. </t>
  </si>
  <si>
    <t>1 монолит</t>
  </si>
  <si>
    <t xml:space="preserve">СГЭ-99
Табл. 57, §1
</t>
  </si>
  <si>
    <t>22,90*8</t>
  </si>
  <si>
    <t>Плановая и высотная привязка при расстоянии между геологическими выработками или точками св 100 м до 200 м. II категория сложности</t>
  </si>
  <si>
    <t>1 выработка (точка)</t>
  </si>
  <si>
    <t xml:space="preserve">СГЭ-99
Табл. 93, §3
</t>
  </si>
  <si>
    <t>14,40*6</t>
  </si>
  <si>
    <t xml:space="preserve">Итого полевых работ   </t>
  </si>
  <si>
    <r>
      <t xml:space="preserve">Итого полевых работ                                                        с </t>
    </r>
    <r>
      <rPr>
        <sz val="11"/>
        <color theme="1"/>
        <rFont val="Calibri"/>
        <family val="2"/>
        <charset val="204"/>
        <scheme val="minor"/>
      </rPr>
      <t>коэффициентом:                                                                    - неблагоприятный период года, продолжительность 6-7,5 мес.</t>
    </r>
  </si>
  <si>
    <t>табл.2, §3</t>
  </si>
  <si>
    <t>728 х 1,3</t>
  </si>
  <si>
    <t>Прочие расходы</t>
  </si>
  <si>
    <t>Внутренний транспорт при расстоянии от базы до участка изысканий 10-15 км</t>
  </si>
  <si>
    <t xml:space="preserve">СГЭ-99
Табл. 4, §3
</t>
  </si>
  <si>
    <t>946,4 *0,1</t>
  </si>
  <si>
    <t xml:space="preserve">Внешний транспорт при расстоянии проезда и перевозки в одном направлении 25 - 100 км и 
продолжительности изысканий, выполняемых в экспедиционных условиях до 1 мес.
</t>
  </si>
  <si>
    <t xml:space="preserve">СГЭ-99
Табл. 5, §1
</t>
  </si>
  <si>
    <t>(946,4+94,64)*0,14</t>
  </si>
  <si>
    <t>Организация и ликвидация работ</t>
  </si>
  <si>
    <t xml:space="preserve">СГЭ-99
ОУ п. 13
прим. 1, k = 2,0
</t>
  </si>
  <si>
    <t>(946,4+94,64)*0,06</t>
  </si>
  <si>
    <t>Итого прочих работ</t>
  </si>
  <si>
    <t>Лабораторные работы</t>
  </si>
  <si>
    <t>Комплексные исследования физико-механических свойств глинистых грунтов. Полный комплекс определений физических свойств для грунтов с включениями частиц диаметром более 1 мм (менее 10%)</t>
  </si>
  <si>
    <t>1 образец</t>
  </si>
  <si>
    <t xml:space="preserve">СГЭ-99
Табл. 63, §9
</t>
  </si>
  <si>
    <t>38,40*8</t>
  </si>
  <si>
    <t>Единичные определения химического состава грунтов (почв). Хлориды из отдельной навески</t>
  </si>
  <si>
    <t xml:space="preserve">СГЭ-99
Табл. 70, §7
</t>
  </si>
  <si>
    <t>5,30*8</t>
  </si>
  <si>
    <t xml:space="preserve"> § </t>
  </si>
  <si>
    <t>Единичные определения химического состава грунтов (почв). Ионы сульфатов трилонометрическим методом в готовой вытяжке</t>
  </si>
  <si>
    <t xml:space="preserve">СГЭ-99
Табл. 70, §82
</t>
  </si>
  <si>
    <t>Единичные определения химического состава грунтов (почв). Приготовление водной вытяжки</t>
  </si>
  <si>
    <t xml:space="preserve">СГЭ-99
Табл. 70, §83
</t>
  </si>
  <si>
    <t>3,80*8</t>
  </si>
  <si>
    <t>Определение коррозионной активности грунтов по отношению к стали</t>
  </si>
  <si>
    <t>1 образец (проба)</t>
  </si>
  <si>
    <t xml:space="preserve">СГЭ-99
Табл. 75, §4
</t>
  </si>
  <si>
    <t>18,20*8</t>
  </si>
  <si>
    <t>Комплексные исследования химического состава воды. Сокращенный анализ воды</t>
  </si>
  <si>
    <t>1 проба</t>
  </si>
  <si>
    <t xml:space="preserve">СГЭ-99
Табл. 73, §3
</t>
  </si>
  <si>
    <t>45,70*6</t>
  </si>
  <si>
    <t>Итого лабораторных работ</t>
  </si>
  <si>
    <t xml:space="preserve">СГЭ-99
Табл. 9, §1
</t>
  </si>
  <si>
    <t>18,50*3,2</t>
  </si>
  <si>
    <t>Камеральная обработка материалов буровых и горнопроходческих работ с гидрогеологическими наблюдениями. II категория сложности инженерно-геологических условий.</t>
  </si>
  <si>
    <t>1 м выработки</t>
  </si>
  <si>
    <t xml:space="preserve">СГЭ-99
Табл. 82, §2
</t>
  </si>
  <si>
    <t>9,30*8</t>
  </si>
  <si>
    <t xml:space="preserve">Составление программы производства работ. Средняя глубина исследования св. 5 до 10 м, исследуемая площадь до 1 км2.
коэффициенты: 
- район II категории сложности инженерно-геологических условий
</t>
  </si>
  <si>
    <t>1 программа</t>
  </si>
  <si>
    <t xml:space="preserve">СГЭ-99
Табл. 81, §2
прим. 1, k = 1,25
</t>
  </si>
  <si>
    <t>500,00*1,25*1</t>
  </si>
  <si>
    <t>Камеральная обработка комплексных исследований и отдельных определений физико-механических свойств глинистых грунтов(пород)</t>
  </si>
  <si>
    <t xml:space="preserve">СГЭ-99
Табл. 86, §1
</t>
  </si>
  <si>
    <t>307,2*0,20</t>
  </si>
  <si>
    <t>Камеральная обработка комплексных исследований и отдельных определений: химического состава грунтов и почв</t>
  </si>
  <si>
    <t xml:space="preserve">СГЭ-99
Табл. 86, §4
</t>
  </si>
  <si>
    <t>115,2*0,12</t>
  </si>
  <si>
    <t>Камеральная обработка определения коррозионной активности грунтов и воды</t>
  </si>
  <si>
    <t xml:space="preserve">СГЭ-99
Табл. 86, §8
</t>
  </si>
  <si>
    <t>145,6*0,15</t>
  </si>
  <si>
    <t>Составление технического отчета (заключения) о результатах выполненных работ</t>
  </si>
  <si>
    <t xml:space="preserve">СГЭ-99
Табл. 87, §2
</t>
  </si>
  <si>
    <t>855,7*0,18</t>
  </si>
  <si>
    <t>ИТОГО ПО СМЕТЕ</t>
  </si>
  <si>
    <t>Составил:____________________</t>
  </si>
  <si>
    <t>23,30*2,97</t>
  </si>
  <si>
    <t>стоимость полевых работ * 8,75%=</t>
  </si>
  <si>
    <t>Шнековое бурение скважины диаметром до 160 мм, глубиной, м: до 10</t>
  </si>
  <si>
    <t>Табл.21 § 1</t>
  </si>
  <si>
    <t>гл.6 п.5 ( колонковый шнек)</t>
  </si>
  <si>
    <t>8,8*18</t>
  </si>
  <si>
    <t>________________ /_______________/</t>
  </si>
  <si>
    <t>«______»_________________ 201_ г.</t>
  </si>
  <si>
    <t>Смета №6</t>
  </si>
  <si>
    <t xml:space="preserve">Реконструкция ВЛ 110 кВ </t>
  </si>
  <si>
    <t>Стадия: Проектная документация</t>
  </si>
  <si>
    <t>Инженерно-экологическая рекогносцировка при хорошей проходимости
(II категория сложности)</t>
  </si>
  <si>
    <t>"СБЦ на инженерно-геологические и инженерно-экологические изыскания для строительства". Табл.9 п.1                                                     - 1,1 - для II категории сложности</t>
  </si>
  <si>
    <t xml:space="preserve">Бурение скважины диметром до 160 мм, глубиной до 15м
(III категория породы)
</t>
  </si>
  <si>
    <t xml:space="preserve">"СБЦ на инженерно-геологические и инженерно-экологические изыскания для строительства". Табл.17 п.1 </t>
  </si>
  <si>
    <t>Отбор точечных проб для анализа на загрязненность по химическим показателям: воды с глубины более 0,5 м</t>
  </si>
  <si>
    <t>"СБЦ на инженерно-геологические и инженерно-экологические изыскания для строительства". Табл.60 п.2                                                                                      - 0,9 - коэффициент применяемый при определении стоимости отбора объединенной пробы (примеч.1 к табл.60)</t>
  </si>
  <si>
    <t>Отбор проб на радиоактивное загрязнение: воды с глубины более 0,5 м</t>
  </si>
  <si>
    <t>"СБЦ на инженерно-геологические и инженерно-экологические изыскания для строительства". Табл.60 п.2                                                                                                                                        - 1,2 - коэффициент применяемый при определении стоимости отбора пробы на радиоактивное загрязнение (примеч.2 к табл.60)</t>
  </si>
  <si>
    <t>Отбор проб для бактериологического анализа: воды</t>
  </si>
  <si>
    <t>"СБЦ на инженерно-геологические и инженерно-экологические изыскания для строительства". Табл.60 п.9</t>
  </si>
  <si>
    <t>Отбор точечных проб для анализа на загрязненность по химическим показателям: донных отложений из поверхностного слоя</t>
  </si>
  <si>
    <t>"СБЦ на инженерно-геологические и инженерно-экологические изыскания для строительства". Табл.60 п.5                                                                                   - 0,9 - коэффициент применяемый при определении стоимости отбора объединенной пробы (примеч.1 к табл.60)</t>
  </si>
  <si>
    <t>Отбор проб для бактериологического анализа: донных отложений</t>
  </si>
  <si>
    <t>"СБЦ на инженерно-геологические и инженерно-экологические изыскания для строительства". Табл.60 п.11</t>
  </si>
  <si>
    <t>Отбор точечных проб для анализа на загрязненность по химическим показателям: почво-грунтов</t>
  </si>
  <si>
    <t>"СБЦ на инженерно-геологические и инженерно-экологические изыскания для строительства". Табл.60 п.7</t>
  </si>
  <si>
    <t>Отбор проб для бактериологического анализа: почво-грунтов с одной пробной площадки</t>
  </si>
  <si>
    <t>"СБЦ на инженерно-геологические и инженерно-экологические изыскания для строительства". Табл.60 п.10</t>
  </si>
  <si>
    <t>Отбор проб для гельминтологического анализа: почво-грунтов с одной пробной площадки</t>
  </si>
  <si>
    <t>"СБЦ на инженерно-геологические и инженерно-экологические изыскания для строительства". Табл.60 п.10                                                                                                - 0,9 - коэффициент применяемый на гельминтологический анализ (примеч.4 к табл.60)</t>
  </si>
  <si>
    <t>Радиационное обследование участка площадью свыше 1 га</t>
  </si>
  <si>
    <t xml:space="preserve">"СБЦ на инженерно-геологические и инженерно-экологические изыскания для строительства". Табл.92 п.3 </t>
  </si>
  <si>
    <t>Определение химического состава грунтов (почв): водородный показатель рН водной или солевой вытяжки электриметрическим методом</t>
  </si>
  <si>
    <t>"СБЦ на инженерно-геологические и инженерно-экологические изыскания для строительства". Табл.70 п.14</t>
  </si>
  <si>
    <t>Определение химического состава грунтов (почв): марганец, кобальт, медь, и цинк подвижные в одной вытяжке</t>
  </si>
  <si>
    <t>"СБЦ на инженерно-геологические и инженерно-экологические изыскания для строительства". Табл.70 п.52</t>
  </si>
  <si>
    <t>Определение химического состава грунтов (почв): определение солей тяжелых металлов без пробоподготовки методом атомной абсорбции (1 металл) с использованием ртутно-гидридной приставки</t>
  </si>
  <si>
    <t>"СБЦ на инженерно-геологические и инженерно-экологические изыскания для строительства". Табл.70 п.59</t>
  </si>
  <si>
    <t>Определение химического состава грунтов (почв): определение 25 химических элементов без пробоподготовки методом спектрального анализа</t>
  </si>
  <si>
    <t>"СБЦ на инженерно-геологические и инженерно-экологические изыскания для строительства". Табл.70 п.61</t>
  </si>
  <si>
    <t>Определение химического состава грунтов (почв): определение нефтяных углеводородов хроматографическим методом</t>
  </si>
  <si>
    <t>"СБЦ на инженерно-геологические и инженерно-экологические изыскания для строительства". Табл.70 п.63</t>
  </si>
  <si>
    <t>Определение химического состава грунтов (почв): приготовление водной вытяжки</t>
  </si>
  <si>
    <t>"СБЦ на инженерно-геологические и инженерно-экологические изыскания для строительства". Табл.70 п.83</t>
  </si>
  <si>
    <t>Полный анализ воды</t>
  </si>
  <si>
    <t>"СБЦ на инженерно-геологические и инженерно-экологические изыскания для строительства". Табл.73 п.1</t>
  </si>
  <si>
    <t xml:space="preserve">"СБЦ на инженерно-геологические и инженерно-экологические изыскания для строительства". Табл.9 п.1                                                     - 1,1 - для II категории сложности </t>
  </si>
  <si>
    <t>Камеральная обработка химических и бактериологических анализов на загрязненность почво-грунтов, воды, льда, снега и донных отложений при инженерно-экологических изысканиях</t>
  </si>
  <si>
    <t>1 обработка</t>
  </si>
  <si>
    <t>"СБЦ на инженерно-геологические и инженерно-экологические изыскания для строительства". Табл.86 п.6</t>
  </si>
  <si>
    <r>
      <t>Составление технического отчета о результатах выполненных работ. Стоимость камеральных работ
0,46</t>
    </r>
    <r>
      <rPr>
        <sz val="8"/>
        <color rgb="FFFF0000"/>
        <rFont val="Arial"/>
        <family val="2"/>
        <charset val="204"/>
      </rPr>
      <t xml:space="preserve"> </t>
    </r>
    <r>
      <rPr>
        <sz val="8"/>
        <rFont val="Arial"/>
        <family val="2"/>
        <charset val="204"/>
      </rPr>
      <t>тыс. руб (до 5 тыс. руб.)</t>
    </r>
  </si>
  <si>
    <t>"СБЦ на инженерно-геологические и инженерно-экологические изыскания для строительства". Табл.87 п.1</t>
  </si>
  <si>
    <t>Итого по смете в ценах на 01.01.1991г.</t>
  </si>
  <si>
    <t>V</t>
  </si>
  <si>
    <t>Составил:______________________________</t>
  </si>
  <si>
    <t>ИТОГО по смете в текущих ценах</t>
  </si>
  <si>
    <t>Итого по смете в текущих ценах 2018г</t>
  </si>
  <si>
    <t>44,21*2406,36</t>
  </si>
  <si>
    <t>2998,225*44,21</t>
  </si>
  <si>
    <t>44,21 инфляционный коэффициент 1 кв. 2018г. по письму Минстроя России №13606-хм/09 от 04.04.2018г.</t>
  </si>
  <si>
    <t>Форма 2п</t>
  </si>
  <si>
    <t>Локальная смета № 6</t>
  </si>
  <si>
    <t xml:space="preserve"> на Проект планировки территории</t>
  </si>
  <si>
    <t>Реконструкция РТП 10 кВ УФСИН , строительство КВЛ 10 кВ для технологического присоединения энергопринимающих устройств ОАО СФ "Тверьагрострой"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</si>
  <si>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руб.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</si>
  <si>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</si>
  <si>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
к разделу Справочника базовых цен на проектные и изыскательские работы для строительства</t>
  </si>
  <si>
    <t xml:space="preserve">Расчет стоимости: (а+bx)*Ki, или (объем строительно-монтажных работ)*проц.  </t>
  </si>
  <si>
    <t>Стоимость,  руб.</t>
  </si>
  <si>
    <t>100 или количество*цена</t>
  </si>
  <si>
    <t>1. Ориентировочная стоимость строительства</t>
  </si>
  <si>
    <t xml:space="preserve">Реконструкция ПС 110 кВ:
- замена масляных выключателей на элегазовые колонковые  - 2 компл.  (3-х полюсных);
- установка  однополюсных разъединителей
 110 кВ - 6 компл.;
- установка трансформаторов тока 110кВ - 6 шт.
- устройство микропроцессорных защит.  </t>
  </si>
  <si>
    <r>
      <t xml:space="preserve">  УСП линии электропередач и подстанции напряжением 35-1150 кВ  324тм - т1 для электросетевых объектов ОАО «ФСК ЕЭС» 2012г.:
- </t>
    </r>
    <r>
      <rPr>
        <b/>
        <sz val="10"/>
        <rFont val="Times New Roman"/>
        <family val="1"/>
        <charset val="204"/>
      </rPr>
      <t xml:space="preserve">6580 тыс. руб. </t>
    </r>
    <r>
      <rPr>
        <sz val="10"/>
        <rFont val="Times New Roman"/>
        <family val="1"/>
        <charset val="204"/>
      </rPr>
      <t xml:space="preserve">- стоимость ячейки одного к-та элегазового выключателя 110 кВ в ценах 2000г. (табл. 15);
- </t>
    </r>
    <r>
      <rPr>
        <b/>
        <sz val="10"/>
        <rFont val="Times New Roman"/>
        <family val="1"/>
        <charset val="204"/>
      </rPr>
      <t xml:space="preserve">4 тыс. руб. </t>
    </r>
    <r>
      <rPr>
        <sz val="10"/>
        <rFont val="Times New Roman"/>
        <family val="1"/>
        <charset val="204"/>
      </rPr>
      <t>- стоимость демонтажа выключателя маслянного110 кВ (не педлежащего дальнейшему использованию без разборки) (табл. 29, п.11);                                                    -</t>
    </r>
    <r>
      <rPr>
        <b/>
        <sz val="10"/>
        <rFont val="Times New Roman"/>
        <family val="1"/>
        <charset val="204"/>
      </rPr>
      <t xml:space="preserve"> 0,7 тыс. руб. </t>
    </r>
    <r>
      <rPr>
        <sz val="10"/>
        <rFont val="Times New Roman"/>
        <family val="1"/>
        <charset val="204"/>
      </rPr>
      <t xml:space="preserve">- стоимость демонтажа металлических конструкций под оборудование (не педлежащего дальнейшему использованию без разборки) (табл. 29, п.12);                                    
-1,25 - инфляционный коэффициент 2000/2001г. (Приказ №620 Минрегиона РФ от 29.12.2009г.)                       </t>
    </r>
  </si>
  <si>
    <t>(6580+4+0,7)х2х1,25</t>
  </si>
  <si>
    <t>Итого стоимость строительства в ценах 2001 г.</t>
  </si>
  <si>
    <t>1. Проектные работы</t>
  </si>
  <si>
    <t>Проект планировки территории</t>
  </si>
  <si>
    <t xml:space="preserve">СБЦП 2001-01 на проектные работы в строительстве. Территориальное планирование и планировка территории 2010 г 
табл.3  - Проект планировки территории
п.1 -  при площади  свыше 0,5 до 5 га: 1,34 га
</t>
  </si>
  <si>
    <t xml:space="preserve">
Если основной показатель меньше табличного:
Ц=a+bx
(55,88+189,64*1,34)
х1000</t>
  </si>
  <si>
    <r>
      <t xml:space="preserve">Письмо Минрегионразвития РФ от 20.06.2011 г. №19268-АП/08
</t>
    </r>
    <r>
      <rPr>
        <b/>
        <sz val="10"/>
        <rFont val="Times New Roman"/>
        <family val="1"/>
        <charset val="204"/>
      </rPr>
      <t>проект планировки - 30% общей стоимости,</t>
    </r>
    <r>
      <rPr>
        <sz val="10"/>
        <rFont val="Times New Roman"/>
        <family val="1"/>
        <charset val="204"/>
      </rPr>
      <t xml:space="preserve">
проект межевания территорий - 40% общей стоимости,
градостроительный план земельных участков - 30% общей стоимости</t>
    </r>
  </si>
  <si>
    <t>309997,6х30%</t>
  </si>
  <si>
    <t>3.</t>
  </si>
  <si>
    <t xml:space="preserve">Итого стоимость проектных работ в ценах 2001 г. </t>
  </si>
  <si>
    <t>Итого проектных работ в ценах 2001 г. с договорным К=0,93</t>
  </si>
  <si>
    <t>ИТОГО с НДС</t>
  </si>
  <si>
    <t xml:space="preserve">Составитель сметы: ____________________ </t>
  </si>
  <si>
    <t>Масло М.С.</t>
  </si>
  <si>
    <t>                                                                 [ подпись (инициалы, фамилия)]</t>
  </si>
  <si>
    <t xml:space="preserve">СБЦП 2001-01 на проектные работы в строительстве. Территориальное планирование и планировка территории 20010 г 
табл.9 - Рекомендуемая ориентировочная относительная стоимость разработки градостроительной документации (в процентах от базовой цены)
п.3 - проект планировки территории:
3% - Комплексная оценка территории,
8% - Инженерные решения по подготовке территории,
</t>
  </si>
  <si>
    <t>92999,28х11%</t>
  </si>
  <si>
    <r>
      <t xml:space="preserve">Итого стоимость проектных работ с К=3,83 по состоянию на 1 кв. 2018 г. </t>
    </r>
    <r>
      <rPr>
        <sz val="1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прил. №3 к Письму Минстроя России   от 30.06.2017 N 23090-ХМ/09</t>
    </r>
  </si>
  <si>
    <t>Локальная смета № 7</t>
  </si>
  <si>
    <r>
      <t xml:space="preserve">Письмо Минрегионразвития РФ от 20.06.2011 г. №19268-АП/08
проект планировки - 30% общей стоимости,
</t>
    </r>
    <r>
      <rPr>
        <b/>
        <sz val="10"/>
        <rFont val="Times New Roman"/>
        <family val="1"/>
        <charset val="204"/>
      </rPr>
      <t>проект межевания территорий - 40% общей стоимости,</t>
    </r>
    <r>
      <rPr>
        <sz val="10"/>
        <rFont val="Times New Roman"/>
        <family val="1"/>
        <charset val="204"/>
      </rPr>
      <t xml:space="preserve">
градостроительный план земельных участков - 30% общей стоимости</t>
    </r>
  </si>
  <si>
    <t>309997,6х40%</t>
  </si>
  <si>
    <t>123999,04х11%</t>
  </si>
  <si>
    <t>((0,5944781909*0,097/1  * 1000 * 3,83)</t>
  </si>
  <si>
    <t>Пересчет в текущие цены 1 квартала 2018г. ( Письмо Минстроя России №13606-хм/09 от 04.04.2018г.)-44,21</t>
  </si>
  <si>
    <t>"_____"________________201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</si>
</sst>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_р_._-;\-* #,##0.00_р_._-;_-* &quot;-&quot;??_р_._-;_-@_-"/>
    <numFmt numFmtId="165" formatCode="0.000"/>
    <numFmt numFmtId="166" formatCode="#,##0.00_ ;\-#,##0.00\ "/>
    <numFmt numFmtId="167" formatCode="#,##0.000"/>
    <numFmt numFmtId="168" formatCode="* #,##0.00;* \-#,##0.00;* &quot;-&quot;??;@"/>
    <numFmt numFmtId="169" formatCode="_(* #,##0.00_);_(* \(#,##0.00\);_(* &quot;-&quot;??_);_(@_)"/>
    <numFmt numFmtId="170" formatCode="0.00000"/>
    <numFmt numFmtId="171" formatCode="0.00000000"/>
    <numFmt numFmtId="172" formatCode="\$#,##0.00_);[Red]\(\$#,##0.00\)"/>
    <numFmt numFmtId="173" formatCode="_-* #,##0.0_р_._-;\-* #,##0.0_р_._-;_-* &quot;-&quot;??_р_._-;_-@_-"/>
    <numFmt numFmtId="174" formatCode="_-* #,##0_р_._-;\-* #,##0_р_._-;_-* &quot;-&quot;??_р_._-;_-@_-"/>
    <numFmt numFmtId="175" formatCode="General;\-General;"/>
    <numFmt numFmtId="176" formatCode="##0"/>
    <numFmt numFmtId="177" formatCode="* #,##0.00000;* \-#,##0.00000;* &quot;-&quot;??;@"/>
    <numFmt numFmtId="178" formatCode="* #,##0.0000;* \-#,##0.0000;* &quot;-&quot;??;@"/>
  </numFmts>
  <fonts count="1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Tahoma"/>
      <family val="2"/>
      <charset val="204"/>
    </font>
    <font>
      <sz val="10"/>
      <name val="Courier"/>
      <family val="3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ourier New Cyr"/>
      <charset val="204"/>
    </font>
    <font>
      <sz val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sz val="10"/>
      <name val="Arial"/>
      <family val="2"/>
    </font>
    <font>
      <u/>
      <sz val="10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</font>
    <font>
      <b/>
      <sz val="10.5"/>
      <color indexed="8"/>
      <name val="Times New Roman"/>
      <family val="1"/>
      <charset val="204"/>
    </font>
    <font>
      <sz val="10"/>
      <name val="Arial Cyr"/>
    </font>
    <font>
      <sz val="11"/>
      <name val="Times New Roman"/>
      <family val="1"/>
      <charset val="204"/>
    </font>
    <font>
      <sz val="11"/>
      <name val="Arial Cyr"/>
    </font>
    <font>
      <sz val="9"/>
      <color indexed="8"/>
      <name val="Times New Roman"/>
      <family val="1"/>
    </font>
    <font>
      <sz val="9"/>
      <name val="Times New Roman"/>
      <family val="1"/>
      <charset val="204"/>
    </font>
    <font>
      <sz val="9"/>
      <name val="Arial Cy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Arial Cyr"/>
    </font>
    <font>
      <i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0"/>
      <name val="Arial Cyr"/>
      <charset val="204"/>
    </font>
    <font>
      <b/>
      <sz val="11"/>
      <name val="Arial Cyr"/>
      <charset val="204"/>
    </font>
    <font>
      <sz val="10"/>
      <name val="Courier New"/>
      <family val="3"/>
      <charset val="204"/>
    </font>
    <font>
      <b/>
      <sz val="11"/>
      <name val="Courier New"/>
      <family val="3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name val="Times New Roman Cyr"/>
      <charset val="204"/>
    </font>
    <font>
      <b/>
      <u/>
      <sz val="11"/>
      <name val="Times New Roman Cyr"/>
      <charset val="204"/>
    </font>
    <font>
      <sz val="8"/>
      <name val="Times New Roman Cyr"/>
      <charset val="204"/>
    </font>
    <font>
      <b/>
      <u/>
      <sz val="12"/>
      <name val="Times New Roman"/>
      <family val="1"/>
      <charset val="204"/>
    </font>
    <font>
      <b/>
      <sz val="9"/>
      <name val="Arial"/>
      <family val="2"/>
      <charset val="204"/>
    </font>
    <font>
      <sz val="10"/>
      <name val="Times New Roman CYR"/>
      <charset val="204"/>
    </font>
    <font>
      <u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FF0000"/>
      <name val="Tahoma"/>
      <family val="2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0"/>
      <name val="Verdana"/>
      <family val="2"/>
      <charset val="204"/>
    </font>
    <font>
      <sz val="10"/>
      <name val="Tahoma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63"/>
      <name val="Arial Cyr"/>
      <family val="2"/>
      <charset val="204"/>
    </font>
    <font>
      <sz val="10"/>
      <color indexed="63"/>
      <name val="Arial Cyr"/>
      <charset val="204"/>
    </font>
    <font>
      <sz val="10"/>
      <name val="Verdana"/>
      <family val="2"/>
    </font>
    <font>
      <sz val="10"/>
      <color rgb="FF3F3F3F"/>
      <name val="Arial Cyr"/>
      <charset val="204"/>
    </font>
    <font>
      <sz val="10"/>
      <color rgb="FF3F3F3F"/>
      <name val="Times New Roman"/>
      <family val="1"/>
      <charset val="204"/>
    </font>
    <font>
      <b/>
      <sz val="10"/>
      <color indexed="63"/>
      <name val="Arial Cyr"/>
      <charset val="204"/>
    </font>
    <font>
      <sz val="10"/>
      <color indexed="8"/>
      <name val="Arial Cyr"/>
      <family val="2"/>
      <charset val="204"/>
    </font>
    <font>
      <sz val="10"/>
      <color indexed="8"/>
      <name val="Verdana"/>
      <family val="2"/>
      <charset val="204"/>
    </font>
    <font>
      <sz val="10"/>
      <name val="Verdana"/>
      <family val="2"/>
      <charset val="204"/>
    </font>
    <font>
      <sz val="12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8"/>
      <color indexed="10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b/>
      <sz val="16"/>
      <color indexed="62"/>
      <name val="Tahoma"/>
      <family val="2"/>
      <charset val="204"/>
    </font>
    <font>
      <b/>
      <u/>
      <sz val="12"/>
      <color indexed="62"/>
      <name val="Tahoma"/>
      <family val="2"/>
      <charset val="204"/>
    </font>
    <font>
      <b/>
      <u/>
      <sz val="12"/>
      <name val="Tahoma"/>
      <family val="2"/>
      <charset val="204"/>
    </font>
    <font>
      <b/>
      <sz val="11"/>
      <color indexed="58"/>
      <name val="Tahoma"/>
      <family val="2"/>
      <charset val="204"/>
    </font>
    <font>
      <b/>
      <sz val="12"/>
      <name val="Tahoma"/>
      <family val="2"/>
      <charset val="204"/>
    </font>
    <font>
      <b/>
      <sz val="12"/>
      <color indexed="62"/>
      <name val="Tahoma"/>
      <family val="2"/>
      <charset val="204"/>
    </font>
    <font>
      <sz val="12"/>
      <name val="Tahoma"/>
      <family val="2"/>
      <charset val="204"/>
    </font>
    <font>
      <sz val="13"/>
      <name val="Tahoma"/>
      <family val="2"/>
      <charset val="204"/>
    </font>
    <font>
      <sz val="13"/>
      <name val="Arial"/>
      <family val="2"/>
      <charset val="204"/>
    </font>
    <font>
      <sz val="11"/>
      <color indexed="58"/>
      <name val="Tahoma"/>
      <family val="2"/>
      <charset val="204"/>
    </font>
    <font>
      <u/>
      <sz val="11"/>
      <color indexed="62"/>
      <name val="Tahoma"/>
      <family val="2"/>
      <charset val="204"/>
    </font>
    <font>
      <sz val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.5"/>
      <color indexed="8"/>
      <name val="Calibri"/>
      <family val="2"/>
      <charset val="204"/>
      <scheme val="minor"/>
    </font>
    <font>
      <sz val="8"/>
      <color indexed="10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  <font>
      <b/>
      <sz val="10"/>
      <color indexed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1"/>
    </font>
    <font>
      <sz val="10"/>
      <name val="Times New Roman"/>
      <family val="1"/>
      <charset val="1"/>
    </font>
    <font>
      <sz val="8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8"/>
      <color rgb="FFFF0000"/>
      <name val="Arial"/>
      <family val="2"/>
      <charset val="204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4"/>
      <name val="Times New Roman Cyr"/>
      <charset val="204"/>
    </font>
    <font>
      <b/>
      <u/>
      <sz val="14"/>
      <name val="Times New Roman"/>
      <family val="1"/>
      <charset val="204"/>
    </font>
    <font>
      <sz val="9"/>
      <name val="Times New Roman Cyr"/>
      <charset val="204"/>
    </font>
    <font>
      <b/>
      <sz val="9"/>
      <name val="Times New Roman Cyr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0"/>
      <name val="Times New Roman"/>
      <family val="1"/>
      <charset val="1"/>
    </font>
    <font>
      <sz val="12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22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8" fillId="0" borderId="0"/>
    <xf numFmtId="0" fontId="12" fillId="0" borderId="0"/>
    <xf numFmtId="0" fontId="5" fillId="0" borderId="0"/>
    <xf numFmtId="164" fontId="5" fillId="0" borderId="0" applyFill="0" applyBorder="0" applyAlignment="0" applyProtection="0"/>
    <xf numFmtId="0" fontId="5" fillId="0" borderId="0"/>
    <xf numFmtId="164" fontId="5" fillId="0" borderId="0" applyFill="0" applyBorder="0" applyAlignment="0" applyProtection="0"/>
    <xf numFmtId="0" fontId="5" fillId="0" borderId="0"/>
    <xf numFmtId="0" fontId="15" fillId="0" borderId="0">
      <alignment vertical="center"/>
    </xf>
    <xf numFmtId="164" fontId="1" fillId="0" borderId="0" applyFont="0" applyFill="0" applyBorder="0" applyAlignment="0" applyProtection="0"/>
    <xf numFmtId="0" fontId="1" fillId="0" borderId="0"/>
    <xf numFmtId="168" fontId="4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5" fillId="0" borderId="0"/>
    <xf numFmtId="9" fontId="4" fillId="0" borderId="0" applyFont="0" applyFill="0" applyBorder="0" applyAlignment="0" applyProtection="0"/>
    <xf numFmtId="0" fontId="63" fillId="0" borderId="0"/>
    <xf numFmtId="0" fontId="64" fillId="0" borderId="0"/>
    <xf numFmtId="172" fontId="4" fillId="0" borderId="0" applyFont="0" applyFill="0" applyBorder="0" applyAlignment="0" applyProtection="0"/>
    <xf numFmtId="0" fontId="64" fillId="0" borderId="0"/>
    <xf numFmtId="0" fontId="66" fillId="0" borderId="0"/>
    <xf numFmtId="0" fontId="9" fillId="0" borderId="0">
      <alignment horizontal="center"/>
    </xf>
    <xf numFmtId="164" fontId="6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73" fillId="5" borderId="50" applyNumberFormat="0" applyAlignment="0" applyProtection="0"/>
    <xf numFmtId="0" fontId="62" fillId="0" borderId="0"/>
    <xf numFmtId="0" fontId="62" fillId="0" borderId="0"/>
    <xf numFmtId="0" fontId="77" fillId="6" borderId="51" applyNumberFormat="0" applyAlignment="0" applyProtection="0"/>
    <xf numFmtId="0" fontId="83" fillId="0" borderId="0"/>
    <xf numFmtId="0" fontId="5" fillId="0" borderId="0"/>
    <xf numFmtId="0" fontId="94" fillId="0" borderId="0"/>
    <xf numFmtId="0" fontId="122" fillId="0" borderId="0"/>
    <xf numFmtId="0" fontId="49" fillId="0" borderId="0"/>
  </cellStyleXfs>
  <cellXfs count="90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/>
    <xf numFmtId="0" fontId="9" fillId="0" borderId="0" xfId="1" applyFont="1" applyFill="1" applyAlignment="1" applyProtection="1">
      <alignment horizontal="center"/>
      <protection locked="0"/>
    </xf>
    <xf numFmtId="0" fontId="0" fillId="0" borderId="0" xfId="0" applyNumberFormat="1"/>
    <xf numFmtId="0" fontId="5" fillId="0" borderId="0" xfId="3" applyNumberFormat="1"/>
    <xf numFmtId="0" fontId="9" fillId="0" borderId="0" xfId="1" applyFont="1" applyFill="1"/>
    <xf numFmtId="0" fontId="9" fillId="0" borderId="0" xfId="1" applyFont="1" applyFill="1" applyBorder="1" applyAlignment="1">
      <alignment horizontal="center" vertical="top"/>
    </xf>
    <xf numFmtId="0" fontId="13" fillId="0" borderId="0" xfId="1" applyFont="1" applyFill="1" applyBorder="1"/>
    <xf numFmtId="2" fontId="14" fillId="0" borderId="0" xfId="1" applyNumberFormat="1" applyFont="1" applyFill="1"/>
    <xf numFmtId="0" fontId="14" fillId="0" borderId="0" xfId="1" applyFont="1" applyFill="1"/>
    <xf numFmtId="1" fontId="13" fillId="0" borderId="0" xfId="1" applyNumberFormat="1" applyFont="1" applyFill="1"/>
    <xf numFmtId="0" fontId="9" fillId="0" borderId="1" xfId="3" applyFont="1" applyBorder="1" applyAlignment="1">
      <alignment horizontal="center"/>
    </xf>
    <xf numFmtId="0" fontId="9" fillId="0" borderId="2" xfId="3" applyFont="1" applyBorder="1" applyAlignment="1">
      <alignment horizontal="center"/>
    </xf>
    <xf numFmtId="0" fontId="9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9" fillId="0" borderId="5" xfId="3" applyFont="1" applyBorder="1" applyAlignment="1">
      <alignment horizontal="center"/>
    </xf>
    <xf numFmtId="0" fontId="9" fillId="0" borderId="6" xfId="3" applyFont="1" applyBorder="1" applyAlignment="1">
      <alignment horizontal="center"/>
    </xf>
    <xf numFmtId="0" fontId="9" fillId="0" borderId="7" xfId="3" applyFont="1" applyBorder="1" applyAlignment="1">
      <alignment horizontal="center"/>
    </xf>
    <xf numFmtId="0" fontId="9" fillId="0" borderId="0" xfId="3" applyFont="1" applyBorder="1" applyAlignment="1">
      <alignment horizontal="center"/>
    </xf>
    <xf numFmtId="0" fontId="9" fillId="0" borderId="8" xfId="3" applyFont="1" applyBorder="1" applyAlignment="1">
      <alignment horizontal="center"/>
    </xf>
    <xf numFmtId="0" fontId="9" fillId="0" borderId="9" xfId="3" applyFont="1" applyBorder="1" applyAlignment="1">
      <alignment horizontal="center"/>
    </xf>
    <xf numFmtId="0" fontId="9" fillId="0" borderId="2" xfId="3" applyFont="1" applyBorder="1"/>
    <xf numFmtId="164" fontId="9" fillId="0" borderId="3" xfId="4" applyFont="1" applyFill="1" applyBorder="1" applyAlignment="1">
      <alignment horizontal="left"/>
    </xf>
    <xf numFmtId="0" fontId="9" fillId="0" borderId="4" xfId="3" applyFont="1" applyFill="1" applyBorder="1" applyAlignment="1">
      <alignment horizontal="left"/>
    </xf>
    <xf numFmtId="0" fontId="9" fillId="0" borderId="3" xfId="3" applyFont="1" applyBorder="1"/>
    <xf numFmtId="0" fontId="9" fillId="0" borderId="4" xfId="3" applyFont="1" applyBorder="1"/>
    <xf numFmtId="1" fontId="9" fillId="0" borderId="2" xfId="3" applyNumberFormat="1" applyFont="1" applyBorder="1" applyAlignment="1">
      <alignment horizontal="right" wrapText="1"/>
    </xf>
    <xf numFmtId="1" fontId="10" fillId="0" borderId="3" xfId="3" applyNumberFormat="1" applyFont="1" applyBorder="1" applyAlignment="1">
      <alignment horizontal="left" wrapText="1"/>
    </xf>
    <xf numFmtId="1" fontId="9" fillId="0" borderId="3" xfId="3" applyNumberFormat="1" applyFont="1" applyBorder="1" applyAlignment="1">
      <alignment horizontal="left" wrapText="1"/>
    </xf>
    <xf numFmtId="1" fontId="9" fillId="0" borderId="3" xfId="4" applyNumberFormat="1" applyFont="1" applyBorder="1" applyAlignment="1">
      <alignment horizontal="left"/>
    </xf>
    <xf numFmtId="1" fontId="9" fillId="0" borderId="3" xfId="4" applyNumberFormat="1" applyFont="1" applyBorder="1"/>
    <xf numFmtId="1" fontId="9" fillId="0" borderId="4" xfId="4" applyNumberFormat="1" applyFont="1" applyBorder="1"/>
    <xf numFmtId="4" fontId="9" fillId="0" borderId="7" xfId="3" applyNumberFormat="1" applyFont="1" applyBorder="1"/>
    <xf numFmtId="164" fontId="5" fillId="0" borderId="0" xfId="3" applyNumberFormat="1"/>
    <xf numFmtId="0" fontId="9" fillId="0" borderId="6" xfId="3" applyFont="1" applyBorder="1" applyAlignment="1"/>
    <xf numFmtId="164" fontId="9" fillId="0" borderId="0" xfId="4" applyFont="1" applyFill="1" applyBorder="1" applyAlignment="1"/>
    <xf numFmtId="0" fontId="9" fillId="0" borderId="7" xfId="3" applyFont="1" applyFill="1" applyBorder="1" applyAlignment="1"/>
    <xf numFmtId="0" fontId="9" fillId="0" borderId="0" xfId="3" applyFont="1" applyBorder="1"/>
    <xf numFmtId="0" fontId="9" fillId="0" borderId="7" xfId="3" applyFont="1" applyBorder="1"/>
    <xf numFmtId="165" fontId="9" fillId="0" borderId="6" xfId="3" applyNumberFormat="1" applyFont="1" applyBorder="1" applyAlignment="1">
      <alignment horizontal="left"/>
    </xf>
    <xf numFmtId="165" fontId="9" fillId="0" borderId="0" xfId="3" applyNumberFormat="1" applyFont="1" applyBorder="1" applyAlignment="1">
      <alignment horizontal="left"/>
    </xf>
    <xf numFmtId="1" fontId="9" fillId="0" borderId="0" xfId="3" applyNumberFormat="1" applyFont="1" applyBorder="1" applyAlignment="1">
      <alignment horizontal="left"/>
    </xf>
    <xf numFmtId="165" fontId="9" fillId="0" borderId="7" xfId="3" applyNumberFormat="1" applyFont="1" applyBorder="1" applyAlignment="1">
      <alignment horizontal="left"/>
    </xf>
    <xf numFmtId="0" fontId="9" fillId="0" borderId="6" xfId="3" applyFont="1" applyBorder="1" applyAlignment="1">
      <alignment horizontal="left"/>
    </xf>
    <xf numFmtId="0" fontId="9" fillId="0" borderId="0" xfId="3" applyFont="1" applyBorder="1" applyAlignment="1">
      <alignment horizontal="left"/>
    </xf>
    <xf numFmtId="166" fontId="9" fillId="0" borderId="0" xfId="3" applyNumberFormat="1" applyFont="1" applyBorder="1" applyAlignment="1">
      <alignment horizontal="left"/>
    </xf>
    <xf numFmtId="0" fontId="9" fillId="0" borderId="7" xfId="3" applyFont="1" applyBorder="1" applyAlignment="1">
      <alignment horizontal="left"/>
    </xf>
    <xf numFmtId="1" fontId="9" fillId="0" borderId="7" xfId="3" applyNumberFormat="1" applyFont="1" applyBorder="1" applyAlignment="1">
      <alignment horizontal="left"/>
    </xf>
    <xf numFmtId="0" fontId="9" fillId="0" borderId="6" xfId="3" applyFont="1" applyBorder="1"/>
    <xf numFmtId="0" fontId="9" fillId="0" borderId="6" xfId="0" applyFont="1" applyBorder="1"/>
    <xf numFmtId="0" fontId="5" fillId="0" borderId="0" xfId="3" applyNumberFormat="1" applyFont="1" applyFill="1" applyBorder="1"/>
    <xf numFmtId="0" fontId="5" fillId="0" borderId="7" xfId="3" applyNumberFormat="1" applyBorder="1"/>
    <xf numFmtId="166" fontId="9" fillId="0" borderId="7" xfId="3" applyNumberFormat="1" applyFont="1" applyBorder="1" applyAlignment="1">
      <alignment horizontal="left"/>
    </xf>
    <xf numFmtId="164" fontId="9" fillId="0" borderId="0" xfId="4" applyFont="1" applyFill="1" applyBorder="1"/>
    <xf numFmtId="0" fontId="9" fillId="0" borderId="6" xfId="5" applyFont="1" applyBorder="1"/>
    <xf numFmtId="2" fontId="9" fillId="0" borderId="6" xfId="3" applyNumberFormat="1" applyFont="1" applyBorder="1" applyAlignment="1">
      <alignment horizontal="left"/>
    </xf>
    <xf numFmtId="2" fontId="9" fillId="0" borderId="0" xfId="3" applyNumberFormat="1" applyFont="1" applyBorder="1" applyAlignment="1">
      <alignment horizontal="left"/>
    </xf>
    <xf numFmtId="2" fontId="9" fillId="0" borderId="7" xfId="3" applyNumberFormat="1" applyFont="1" applyBorder="1" applyAlignment="1">
      <alignment horizontal="left"/>
    </xf>
    <xf numFmtId="164" fontId="9" fillId="0" borderId="7" xfId="6" applyFont="1" applyFill="1" applyBorder="1"/>
    <xf numFmtId="0" fontId="9" fillId="0" borderId="0" xfId="7" applyFont="1" applyBorder="1"/>
    <xf numFmtId="0" fontId="9" fillId="0" borderId="6" xfId="3" applyFont="1" applyBorder="1" applyAlignment="1">
      <alignment horizontal="left" wrapText="1"/>
    </xf>
    <xf numFmtId="0" fontId="9" fillId="0" borderId="0" xfId="3" applyFont="1" applyBorder="1" applyAlignment="1">
      <alignment horizontal="left" wrapText="1"/>
    </xf>
    <xf numFmtId="0" fontId="9" fillId="0" borderId="7" xfId="3" applyFont="1" applyBorder="1" applyAlignment="1">
      <alignment horizontal="left" wrapText="1"/>
    </xf>
    <xf numFmtId="2" fontId="9" fillId="0" borderId="7" xfId="3" applyNumberFormat="1" applyFont="1" applyBorder="1"/>
    <xf numFmtId="0" fontId="9" fillId="0" borderId="10" xfId="8" applyFont="1" applyFill="1" applyBorder="1" applyAlignment="1">
      <alignment wrapText="1"/>
    </xf>
    <xf numFmtId="0" fontId="9" fillId="0" borderId="11" xfId="3" applyFont="1" applyBorder="1"/>
    <xf numFmtId="0" fontId="9" fillId="0" borderId="9" xfId="3" applyFont="1" applyBorder="1"/>
    <xf numFmtId="0" fontId="9" fillId="0" borderId="11" xfId="7" applyFont="1" applyBorder="1"/>
    <xf numFmtId="164" fontId="9" fillId="0" borderId="9" xfId="6" applyFont="1" applyFill="1" applyBorder="1"/>
    <xf numFmtId="0" fontId="16" fillId="0" borderId="6" xfId="3" applyFont="1" applyBorder="1" applyAlignment="1">
      <alignment horizontal="left"/>
    </xf>
    <xf numFmtId="0" fontId="16" fillId="0" borderId="0" xfId="3" applyFont="1" applyBorder="1" applyAlignment="1">
      <alignment horizontal="left"/>
    </xf>
    <xf numFmtId="0" fontId="16" fillId="0" borderId="7" xfId="3" applyFont="1" applyBorder="1" applyAlignment="1">
      <alignment horizontal="left"/>
    </xf>
    <xf numFmtId="0" fontId="9" fillId="0" borderId="0" xfId="5" applyFont="1" applyBorder="1"/>
    <xf numFmtId="4" fontId="9" fillId="0" borderId="2" xfId="3" applyNumberFormat="1" applyFont="1" applyBorder="1"/>
    <xf numFmtId="0" fontId="10" fillId="0" borderId="3" xfId="3" applyFont="1" applyBorder="1" applyAlignment="1">
      <alignment horizontal="left" wrapText="1"/>
    </xf>
    <xf numFmtId="2" fontId="9" fillId="0" borderId="3" xfId="3" applyNumberFormat="1" applyFont="1" applyBorder="1"/>
    <xf numFmtId="4" fontId="9" fillId="0" borderId="3" xfId="3" applyNumberFormat="1" applyFont="1" applyBorder="1"/>
    <xf numFmtId="4" fontId="9" fillId="0" borderId="12" xfId="3" applyNumberFormat="1" applyFont="1" applyBorder="1"/>
    <xf numFmtId="0" fontId="9" fillId="0" borderId="6" xfId="8" applyFont="1" applyFill="1" applyBorder="1" applyAlignment="1">
      <alignment wrapText="1"/>
    </xf>
    <xf numFmtId="0" fontId="9" fillId="0" borderId="0" xfId="5" applyFont="1" applyFill="1" applyBorder="1"/>
    <xf numFmtId="0" fontId="9" fillId="0" borderId="10" xfId="3" applyFont="1" applyBorder="1" applyAlignment="1">
      <alignment horizontal="center"/>
    </xf>
    <xf numFmtId="0" fontId="9" fillId="0" borderId="10" xfId="3" applyFont="1" applyBorder="1"/>
    <xf numFmtId="4" fontId="9" fillId="0" borderId="9" xfId="3" applyNumberFormat="1" applyFont="1" applyBorder="1"/>
    <xf numFmtId="4" fontId="5" fillId="0" borderId="0" xfId="3" applyNumberFormat="1"/>
    <xf numFmtId="0" fontId="9" fillId="0" borderId="2" xfId="3" applyNumberFormat="1" applyFont="1" applyBorder="1" applyAlignment="1">
      <alignment wrapText="1"/>
    </xf>
    <xf numFmtId="0" fontId="9" fillId="0" borderId="3" xfId="3" applyNumberFormat="1" applyFont="1" applyBorder="1" applyAlignment="1">
      <alignment wrapText="1"/>
    </xf>
    <xf numFmtId="0" fontId="9" fillId="0" borderId="4" xfId="3" applyNumberFormat="1" applyFont="1" applyBorder="1" applyAlignment="1">
      <alignment wrapText="1"/>
    </xf>
    <xf numFmtId="4" fontId="9" fillId="0" borderId="4" xfId="3" applyNumberFormat="1" applyFont="1" applyBorder="1"/>
    <xf numFmtId="0" fontId="9" fillId="0" borderId="6" xfId="3" applyNumberFormat="1" applyFont="1" applyBorder="1" applyAlignment="1">
      <alignment wrapText="1"/>
    </xf>
    <xf numFmtId="0" fontId="9" fillId="0" borderId="0" xfId="3" applyNumberFormat="1" applyFont="1" applyBorder="1" applyAlignment="1">
      <alignment wrapText="1"/>
    </xf>
    <xf numFmtId="0" fontId="9" fillId="0" borderId="7" xfId="3" applyNumberFormat="1" applyFont="1" applyBorder="1" applyAlignment="1">
      <alignment wrapText="1"/>
    </xf>
    <xf numFmtId="0" fontId="9" fillId="0" borderId="15" xfId="3" applyFont="1" applyBorder="1"/>
    <xf numFmtId="0" fontId="9" fillId="0" borderId="2" xfId="3" applyNumberFormat="1" applyFont="1" applyBorder="1" applyAlignment="1">
      <alignment horizontal="left" wrapText="1"/>
    </xf>
    <xf numFmtId="0" fontId="9" fillId="0" borderId="3" xfId="3" applyNumberFormat="1" applyFont="1" applyBorder="1" applyAlignment="1">
      <alignment horizontal="left" wrapText="1"/>
    </xf>
    <xf numFmtId="0" fontId="9" fillId="0" borderId="4" xfId="3" applyNumberFormat="1" applyFont="1" applyBorder="1" applyAlignment="1">
      <alignment horizontal="left" wrapText="1"/>
    </xf>
    <xf numFmtId="164" fontId="9" fillId="0" borderId="2" xfId="9" applyFont="1" applyBorder="1" applyAlignment="1">
      <alignment horizontal="center"/>
    </xf>
    <xf numFmtId="164" fontId="9" fillId="0" borderId="3" xfId="9" applyFont="1" applyBorder="1" applyAlignment="1">
      <alignment horizontal="center"/>
    </xf>
    <xf numFmtId="164" fontId="9" fillId="0" borderId="4" xfId="9" applyFont="1" applyBorder="1" applyAlignment="1">
      <alignment horizontal="center"/>
    </xf>
    <xf numFmtId="0" fontId="9" fillId="0" borderId="13" xfId="3" applyFont="1" applyBorder="1" applyAlignment="1">
      <alignment horizontal="center"/>
    </xf>
    <xf numFmtId="0" fontId="9" fillId="0" borderId="14" xfId="3" applyFont="1" applyBorder="1"/>
    <xf numFmtId="0" fontId="9" fillId="0" borderId="12" xfId="3" applyFont="1" applyBorder="1"/>
    <xf numFmtId="0" fontId="10" fillId="0" borderId="13" xfId="3" applyNumberFormat="1" applyFont="1" applyBorder="1" applyAlignment="1">
      <alignment wrapText="1"/>
    </xf>
    <xf numFmtId="0" fontId="10" fillId="0" borderId="14" xfId="3" applyNumberFormat="1" applyFont="1" applyBorder="1" applyAlignment="1">
      <alignment wrapText="1"/>
    </xf>
    <xf numFmtId="0" fontId="10" fillId="0" borderId="12" xfId="3" applyNumberFormat="1" applyFont="1" applyBorder="1" applyAlignment="1">
      <alignment wrapText="1"/>
    </xf>
    <xf numFmtId="0" fontId="10" fillId="0" borderId="11" xfId="3" applyFont="1" applyBorder="1"/>
    <xf numFmtId="0" fontId="10" fillId="0" borderId="9" xfId="3" applyFont="1" applyBorder="1"/>
    <xf numFmtId="0" fontId="10" fillId="0" borderId="13" xfId="3" applyFont="1" applyBorder="1"/>
    <xf numFmtId="0" fontId="10" fillId="0" borderId="14" xfId="3" applyFont="1" applyBorder="1"/>
    <xf numFmtId="0" fontId="10" fillId="0" borderId="12" xfId="3" applyFont="1" applyBorder="1"/>
    <xf numFmtId="4" fontId="10" fillId="0" borderId="12" xfId="3" applyNumberFormat="1" applyFont="1" applyBorder="1"/>
    <xf numFmtId="167" fontId="5" fillId="0" borderId="0" xfId="3" applyNumberFormat="1"/>
    <xf numFmtId="0" fontId="9" fillId="0" borderId="0" xfId="3" applyNumberFormat="1" applyFont="1" applyBorder="1"/>
    <xf numFmtId="0" fontId="9" fillId="0" borderId="0" xfId="3" applyNumberFormat="1" applyFont="1" applyAlignment="1">
      <alignment wrapText="1"/>
    </xf>
    <xf numFmtId="0" fontId="9" fillId="0" borderId="0" xfId="3" applyNumberFormat="1" applyFont="1"/>
    <xf numFmtId="0" fontId="9" fillId="0" borderId="0" xfId="3" applyNumberFormat="1" applyFont="1" applyAlignment="1">
      <alignment horizontal="left" wrapText="1"/>
    </xf>
    <xf numFmtId="4" fontId="10" fillId="0" borderId="0" xfId="3" applyNumberFormat="1" applyFont="1"/>
    <xf numFmtId="0" fontId="5" fillId="0" borderId="0" xfId="3" applyNumberFormat="1" applyFont="1" applyAlignment="1">
      <alignment wrapText="1"/>
    </xf>
    <xf numFmtId="0" fontId="4" fillId="0" borderId="0" xfId="3" applyNumberFormat="1" applyFont="1" applyAlignment="1">
      <alignment horizontal="left" wrapText="1"/>
    </xf>
    <xf numFmtId="0" fontId="5" fillId="0" borderId="0" xfId="3" applyNumberFormat="1" applyBorder="1"/>
    <xf numFmtId="0" fontId="4" fillId="0" borderId="0" xfId="3" applyNumberFormat="1" applyFont="1"/>
    <xf numFmtId="0" fontId="3" fillId="0" borderId="0" xfId="3" applyFont="1"/>
    <xf numFmtId="0" fontId="5" fillId="0" borderId="0" xfId="3"/>
    <xf numFmtId="0" fontId="5" fillId="0" borderId="0" xfId="3" applyAlignment="1">
      <alignment horizontal="center"/>
    </xf>
    <xf numFmtId="0" fontId="5" fillId="0" borderId="11" xfId="3" applyBorder="1"/>
    <xf numFmtId="0" fontId="3" fillId="0" borderId="0" xfId="3" applyFont="1" applyAlignment="1"/>
    <xf numFmtId="0" fontId="17" fillId="0" borderId="0" xfId="3" applyFont="1" applyAlignment="1"/>
    <xf numFmtId="0" fontId="18" fillId="0" borderId="16" xfId="3" applyFont="1" applyBorder="1" applyAlignment="1">
      <alignment horizontal="center" vertical="top" wrapText="1"/>
    </xf>
    <xf numFmtId="0" fontId="19" fillId="0" borderId="17" xfId="3" applyFont="1" applyBorder="1" applyAlignment="1">
      <alignment horizontal="center" vertical="center" wrapText="1"/>
    </xf>
    <xf numFmtId="0" fontId="19" fillId="0" borderId="20" xfId="3" applyFont="1" applyBorder="1" applyAlignment="1">
      <alignment horizontal="center" vertical="center" wrapText="1"/>
    </xf>
    <xf numFmtId="2" fontId="9" fillId="0" borderId="0" xfId="3" applyNumberFormat="1" applyFont="1" applyAlignment="1">
      <alignment horizontal="center"/>
    </xf>
    <xf numFmtId="0" fontId="20" fillId="0" borderId="0" xfId="3" applyFont="1" applyAlignment="1">
      <alignment horizontal="center"/>
    </xf>
    <xf numFmtId="1" fontId="21" fillId="0" borderId="0" xfId="3" applyNumberFormat="1" applyFont="1" applyAlignment="1">
      <alignment horizontal="center"/>
    </xf>
    <xf numFmtId="0" fontId="21" fillId="0" borderId="0" xfId="3" applyFont="1"/>
    <xf numFmtId="0" fontId="22" fillId="0" borderId="0" xfId="3" applyFont="1" applyAlignment="1">
      <alignment horizontal="center" wrapText="1"/>
    </xf>
    <xf numFmtId="0" fontId="22" fillId="0" borderId="0" xfId="3" applyFont="1" applyAlignment="1">
      <alignment horizontal="center"/>
    </xf>
    <xf numFmtId="0" fontId="23" fillId="0" borderId="16" xfId="3" applyFont="1" applyFill="1" applyBorder="1" applyAlignment="1">
      <alignment horizontal="center" vertical="top" wrapText="1"/>
    </xf>
    <xf numFmtId="0" fontId="23" fillId="0" borderId="17" xfId="3" applyFont="1" applyFill="1" applyBorder="1" applyAlignment="1">
      <alignment horizontal="center" vertical="top" wrapText="1"/>
    </xf>
    <xf numFmtId="0" fontId="23" fillId="0" borderId="20" xfId="3" applyFont="1" applyFill="1" applyBorder="1" applyAlignment="1">
      <alignment horizontal="center" vertical="top" wrapText="1"/>
    </xf>
    <xf numFmtId="2" fontId="24" fillId="0" borderId="0" xfId="3" applyNumberFormat="1" applyFont="1" applyBorder="1" applyAlignment="1">
      <alignment horizontal="center"/>
    </xf>
    <xf numFmtId="0" fontId="25" fillId="0" borderId="0" xfId="3" applyFont="1" applyAlignment="1">
      <alignment horizontal="center"/>
    </xf>
    <xf numFmtId="2" fontId="21" fillId="0" borderId="0" xfId="3" applyNumberFormat="1" applyFont="1" applyAlignment="1">
      <alignment horizontal="center"/>
    </xf>
    <xf numFmtId="0" fontId="26" fillId="0" borderId="4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 wrapText="1"/>
    </xf>
    <xf numFmtId="0" fontId="28" fillId="0" borderId="4" xfId="3" applyFont="1" applyFill="1" applyBorder="1" applyAlignment="1">
      <alignment horizontal="left" vertical="top" wrapText="1"/>
    </xf>
    <xf numFmtId="0" fontId="26" fillId="0" borderId="1" xfId="3" applyFont="1" applyFill="1" applyBorder="1" applyAlignment="1">
      <alignment horizontal="center" vertical="top" wrapText="1"/>
    </xf>
    <xf numFmtId="0" fontId="26" fillId="0" borderId="3" xfId="3" applyFont="1" applyFill="1" applyBorder="1" applyAlignment="1">
      <alignment horizontal="center" vertical="top" wrapText="1"/>
    </xf>
    <xf numFmtId="0" fontId="29" fillId="0" borderId="6" xfId="3" applyFont="1" applyFill="1" applyBorder="1" applyAlignment="1">
      <alignment horizontal="right" vertical="top" wrapText="1"/>
    </xf>
    <xf numFmtId="1" fontId="29" fillId="0" borderId="7" xfId="3" applyNumberFormat="1" applyFont="1" applyFill="1" applyBorder="1" applyAlignment="1">
      <alignment horizontal="left" vertical="top" wrapText="1"/>
    </xf>
    <xf numFmtId="0" fontId="9" fillId="2" borderId="0" xfId="3" applyFont="1" applyFill="1"/>
    <xf numFmtId="0" fontId="30" fillId="0" borderId="0" xfId="3" applyFont="1"/>
    <xf numFmtId="0" fontId="9" fillId="0" borderId="0" xfId="3" applyFont="1"/>
    <xf numFmtId="0" fontId="9" fillId="0" borderId="0" xfId="3" applyFont="1" applyAlignment="1">
      <alignment wrapText="1"/>
    </xf>
    <xf numFmtId="0" fontId="10" fillId="0" borderId="0" xfId="3" applyFont="1" applyAlignment="1">
      <alignment wrapText="1"/>
    </xf>
    <xf numFmtId="0" fontId="28" fillId="0" borderId="8" xfId="3" applyFont="1" applyFill="1" applyBorder="1" applyAlignment="1">
      <alignment horizontal="left" vertical="top" wrapText="1"/>
    </xf>
    <xf numFmtId="2" fontId="26" fillId="0" borderId="8" xfId="3" applyNumberFormat="1" applyFont="1" applyFill="1" applyBorder="1" applyAlignment="1">
      <alignment horizontal="center" vertical="top" wrapText="1"/>
    </xf>
    <xf numFmtId="0" fontId="26" fillId="0" borderId="8" xfId="3" applyFont="1" applyFill="1" applyBorder="1" applyAlignment="1">
      <alignment horizontal="center" vertical="top" wrapText="1"/>
    </xf>
    <xf numFmtId="0" fontId="26" fillId="0" borderId="6" xfId="3" applyFont="1" applyFill="1" applyBorder="1" applyAlignment="1">
      <alignment horizontal="right" vertical="top" wrapText="1"/>
    </xf>
    <xf numFmtId="2" fontId="26" fillId="0" borderId="7" xfId="3" applyNumberFormat="1" applyFont="1" applyFill="1" applyBorder="1" applyAlignment="1">
      <alignment horizontal="left" vertical="top" wrapText="1"/>
    </xf>
    <xf numFmtId="2" fontId="26" fillId="0" borderId="5" xfId="3" applyNumberFormat="1" applyFont="1" applyFill="1" applyBorder="1" applyAlignment="1">
      <alignment horizontal="center" vertical="top" wrapText="1"/>
    </xf>
    <xf numFmtId="0" fontId="28" fillId="0" borderId="15" xfId="3" applyFont="1" applyFill="1" applyBorder="1" applyAlignment="1">
      <alignment horizontal="left" vertical="top" wrapText="1"/>
    </xf>
    <xf numFmtId="2" fontId="26" fillId="0" borderId="15" xfId="3" applyNumberFormat="1" applyFont="1" applyFill="1" applyBorder="1" applyAlignment="1">
      <alignment horizontal="center" vertical="top" wrapText="1"/>
    </xf>
    <xf numFmtId="0" fontId="26" fillId="0" borderId="15" xfId="3" applyFont="1" applyFill="1" applyBorder="1" applyAlignment="1">
      <alignment horizontal="center" vertical="top" wrapText="1"/>
    </xf>
    <xf numFmtId="0" fontId="26" fillId="0" borderId="15" xfId="3" applyFont="1" applyFill="1" applyBorder="1" applyAlignment="1">
      <alignment horizontal="center" vertical="center" wrapText="1"/>
    </xf>
    <xf numFmtId="0" fontId="27" fillId="0" borderId="15" xfId="3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right" vertical="top" wrapText="1"/>
    </xf>
    <xf numFmtId="2" fontId="26" fillId="0" borderId="9" xfId="3" applyNumberFormat="1" applyFont="1" applyFill="1" applyBorder="1" applyAlignment="1">
      <alignment horizontal="left" vertical="top" wrapText="1"/>
    </xf>
    <xf numFmtId="0" fontId="28" fillId="0" borderId="1" xfId="3" applyFont="1" applyFill="1" applyBorder="1" applyAlignment="1">
      <alignment horizontal="left" vertical="top" wrapText="1"/>
    </xf>
    <xf numFmtId="1" fontId="26" fillId="0" borderId="7" xfId="3" applyNumberFormat="1" applyFont="1" applyFill="1" applyBorder="1" applyAlignment="1">
      <alignment horizontal="left" vertical="top" wrapText="1"/>
    </xf>
    <xf numFmtId="0" fontId="26" fillId="0" borderId="0" xfId="3" applyFont="1" applyFill="1" applyBorder="1" applyAlignment="1">
      <alignment horizontal="center" vertical="top" wrapText="1"/>
    </xf>
    <xf numFmtId="0" fontId="26" fillId="0" borderId="7" xfId="3" applyFont="1" applyFill="1" applyBorder="1" applyAlignment="1">
      <alignment horizontal="center" vertical="center" wrapText="1"/>
    </xf>
    <xf numFmtId="0" fontId="27" fillId="0" borderId="5" xfId="3" applyFont="1" applyFill="1" applyBorder="1" applyAlignment="1">
      <alignment horizontal="center" vertical="center" wrapText="1"/>
    </xf>
    <xf numFmtId="0" fontId="28" fillId="0" borderId="5" xfId="10" applyFont="1" applyFill="1" applyBorder="1" applyAlignment="1">
      <alignment horizontal="left" vertical="top" wrapText="1"/>
    </xf>
    <xf numFmtId="0" fontId="26" fillId="0" borderId="5" xfId="3" applyFont="1" applyFill="1" applyBorder="1" applyAlignment="1">
      <alignment horizontal="center" vertical="top" wrapText="1"/>
    </xf>
    <xf numFmtId="2" fontId="26" fillId="0" borderId="11" xfId="3" applyNumberFormat="1" applyFont="1" applyFill="1" applyBorder="1" applyAlignment="1">
      <alignment horizontal="center" vertical="top" wrapText="1"/>
    </xf>
    <xf numFmtId="0" fontId="28" fillId="0" borderId="5" xfId="3" applyFont="1" applyFill="1" applyBorder="1" applyAlignment="1">
      <alignment horizontal="left" vertical="top" wrapText="1"/>
    </xf>
    <xf numFmtId="2" fontId="26" fillId="0" borderId="0" xfId="3" applyNumberFormat="1" applyFont="1" applyFill="1" applyBorder="1" applyAlignment="1">
      <alignment horizontal="center" vertical="top" wrapText="1"/>
    </xf>
    <xf numFmtId="2" fontId="31" fillId="0" borderId="13" xfId="3" applyNumberFormat="1" applyFont="1" applyFill="1" applyBorder="1" applyAlignment="1">
      <alignment horizontal="center" vertical="top" wrapText="1"/>
    </xf>
    <xf numFmtId="0" fontId="26" fillId="0" borderId="12" xfId="3" applyFont="1" applyFill="1" applyBorder="1" applyAlignment="1">
      <alignment horizontal="center" vertical="center" wrapText="1"/>
    </xf>
    <xf numFmtId="0" fontId="28" fillId="0" borderId="15" xfId="10" applyFont="1" applyFill="1" applyBorder="1" applyAlignment="1">
      <alignment horizontal="right" vertical="top" wrapText="1"/>
    </xf>
    <xf numFmtId="0" fontId="26" fillId="0" borderId="14" xfId="3" applyFont="1" applyFill="1" applyBorder="1" applyAlignment="1">
      <alignment horizontal="center" vertical="top" wrapText="1"/>
    </xf>
    <xf numFmtId="0" fontId="32" fillId="0" borderId="21" xfId="3" applyFont="1" applyFill="1" applyBorder="1" applyAlignment="1">
      <alignment horizontal="center" vertical="top" wrapText="1"/>
    </xf>
    <xf numFmtId="169" fontId="34" fillId="0" borderId="24" xfId="11" applyNumberFormat="1" applyFont="1" applyFill="1" applyBorder="1" applyAlignment="1">
      <alignment wrapText="1"/>
    </xf>
    <xf numFmtId="2" fontId="9" fillId="2" borderId="0" xfId="3" applyNumberFormat="1" applyFont="1" applyFill="1" applyAlignment="1">
      <alignment horizontal="center"/>
    </xf>
    <xf numFmtId="0" fontId="35" fillId="0" borderId="0" xfId="3" applyFont="1"/>
    <xf numFmtId="0" fontId="2" fillId="0" borderId="0" xfId="3" applyFont="1"/>
    <xf numFmtId="0" fontId="26" fillId="0" borderId="25" xfId="3" applyFont="1" applyFill="1" applyBorder="1" applyAlignment="1">
      <alignment horizontal="center" vertical="center" wrapText="1"/>
    </xf>
    <xf numFmtId="0" fontId="21" fillId="0" borderId="8" xfId="3" applyFont="1" applyFill="1" applyBorder="1" applyAlignment="1">
      <alignment horizontal="center" vertical="center" wrapText="1"/>
    </xf>
    <xf numFmtId="0" fontId="36" fillId="0" borderId="8" xfId="3" applyFont="1" applyFill="1" applyBorder="1" applyAlignment="1">
      <alignment horizontal="center" vertical="top" wrapText="1"/>
    </xf>
    <xf numFmtId="0" fontId="9" fillId="0" borderId="8" xfId="3" applyFont="1" applyFill="1" applyBorder="1" applyAlignment="1">
      <alignment horizontal="center"/>
    </xf>
    <xf numFmtId="1" fontId="9" fillId="0" borderId="10" xfId="3" applyNumberFormat="1" applyFont="1" applyFill="1" applyBorder="1" applyAlignment="1">
      <alignment horizontal="center" vertical="top" wrapText="1"/>
    </xf>
    <xf numFmtId="2" fontId="26" fillId="0" borderId="26" xfId="3" applyNumberFormat="1" applyFont="1" applyFill="1" applyBorder="1" applyAlignment="1">
      <alignment horizontal="right" vertical="top" wrapText="1"/>
    </xf>
    <xf numFmtId="9" fontId="9" fillId="2" borderId="0" xfId="3" applyNumberFormat="1" applyFont="1" applyFill="1"/>
    <xf numFmtId="169" fontId="31" fillId="0" borderId="27" xfId="12" applyNumberFormat="1" applyFont="1" applyFill="1" applyBorder="1" applyAlignment="1">
      <alignment horizontal="left" vertical="top" wrapText="1"/>
    </xf>
    <xf numFmtId="10" fontId="9" fillId="2" borderId="0" xfId="13" applyNumberFormat="1" applyFont="1" applyFill="1" applyAlignment="1">
      <alignment horizontal="center"/>
    </xf>
    <xf numFmtId="0" fontId="32" fillId="0" borderId="0" xfId="3" applyFont="1" applyFill="1" applyBorder="1" applyAlignment="1">
      <alignment horizontal="center" vertical="top" wrapText="1"/>
    </xf>
    <xf numFmtId="0" fontId="33" fillId="0" borderId="0" xfId="3" applyFont="1" applyFill="1" applyBorder="1" applyAlignment="1">
      <alignment horizontal="right" vertical="top"/>
    </xf>
    <xf numFmtId="169" fontId="34" fillId="0" borderId="0" xfId="11" applyNumberFormat="1" applyFont="1" applyFill="1" applyBorder="1" applyAlignment="1">
      <alignment wrapText="1"/>
    </xf>
    <xf numFmtId="9" fontId="9" fillId="2" borderId="0" xfId="13" applyFont="1" applyFill="1" applyAlignment="1">
      <alignment horizontal="center"/>
    </xf>
    <xf numFmtId="0" fontId="38" fillId="0" borderId="0" xfId="3" applyFont="1" applyAlignment="1"/>
    <xf numFmtId="0" fontId="5" fillId="0" borderId="0" xfId="3" applyAlignment="1"/>
    <xf numFmtId="0" fontId="39" fillId="0" borderId="0" xfId="3" applyFont="1" applyAlignment="1"/>
    <xf numFmtId="2" fontId="5" fillId="0" borderId="0" xfId="3" applyNumberFormat="1" applyFont="1" applyAlignment="1">
      <alignment horizontal="center"/>
    </xf>
    <xf numFmtId="0" fontId="41" fillId="0" borderId="0" xfId="3" applyFont="1"/>
    <xf numFmtId="0" fontId="5" fillId="0" borderId="0" xfId="3" applyFont="1"/>
    <xf numFmtId="2" fontId="3" fillId="0" borderId="0" xfId="3" applyNumberFormat="1" applyFont="1" applyAlignment="1">
      <alignment horizontal="center"/>
    </xf>
    <xf numFmtId="0" fontId="40" fillId="0" borderId="0" xfId="3" applyFont="1"/>
    <xf numFmtId="2" fontId="5" fillId="0" borderId="0" xfId="3" applyNumberFormat="1" applyAlignment="1">
      <alignment horizontal="center"/>
    </xf>
    <xf numFmtId="0" fontId="42" fillId="0" borderId="0" xfId="3" applyFont="1" applyAlignment="1">
      <alignment vertical="top"/>
    </xf>
    <xf numFmtId="0" fontId="45" fillId="0" borderId="0" xfId="3" applyFont="1" applyAlignment="1">
      <alignment horizontal="center" vertical="center" wrapText="1"/>
    </xf>
    <xf numFmtId="0" fontId="49" fillId="0" borderId="0" xfId="0" applyFont="1"/>
    <xf numFmtId="0" fontId="0" fillId="0" borderId="0" xfId="0" applyAlignment="1">
      <alignment vertical="top" wrapText="1"/>
    </xf>
    <xf numFmtId="0" fontId="50" fillId="0" borderId="0" xfId="0" applyFont="1"/>
    <xf numFmtId="0" fontId="0" fillId="0" borderId="0" xfId="0" applyFill="1"/>
    <xf numFmtId="4" fontId="0" fillId="0" borderId="0" xfId="0" applyNumberFormat="1" applyFill="1"/>
    <xf numFmtId="4" fontId="4" fillId="0" borderId="15" xfId="0" applyNumberFormat="1" applyFont="1" applyFill="1" applyBorder="1" applyAlignment="1">
      <alignment vertical="center"/>
    </xf>
    <xf numFmtId="4" fontId="5" fillId="0" borderId="15" xfId="0" applyNumberFormat="1" applyFont="1" applyFill="1" applyBorder="1" applyAlignment="1">
      <alignment horizontal="right" vertical="center"/>
    </xf>
    <xf numFmtId="4" fontId="4" fillId="0" borderId="15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Fill="1"/>
    <xf numFmtId="4" fontId="2" fillId="0" borderId="0" xfId="0" applyNumberFormat="1" applyFont="1" applyFill="1"/>
    <xf numFmtId="4" fontId="0" fillId="0" borderId="0" xfId="0" applyNumberFormat="1"/>
    <xf numFmtId="4" fontId="4" fillId="0" borderId="15" xfId="0" applyNumberFormat="1" applyFont="1" applyFill="1" applyBorder="1" applyAlignment="1">
      <alignment horizontal="right" vertical="center"/>
    </xf>
    <xf numFmtId="49" fontId="5" fillId="0" borderId="15" xfId="0" applyNumberFormat="1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vertical="center"/>
    </xf>
    <xf numFmtId="4" fontId="5" fillId="0" borderId="15" xfId="0" applyNumberFormat="1" applyFont="1" applyFill="1" applyBorder="1" applyAlignment="1">
      <alignment horizontal="right" vertical="center" wrapText="1"/>
    </xf>
    <xf numFmtId="2" fontId="5" fillId="0" borderId="15" xfId="0" applyNumberFormat="1" applyFont="1" applyFill="1" applyBorder="1" applyAlignment="1">
      <alignment vertical="center"/>
    </xf>
    <xf numFmtId="2" fontId="5" fillId="0" borderId="15" xfId="0" applyNumberFormat="1" applyFont="1" applyFill="1" applyBorder="1" applyAlignment="1">
      <alignment horizontal="right" vertical="center"/>
    </xf>
    <xf numFmtId="0" fontId="53" fillId="0" borderId="15" xfId="0" applyFont="1" applyFill="1" applyBorder="1" applyAlignment="1">
      <alignment horizontal="center" vertical="center"/>
    </xf>
    <xf numFmtId="0" fontId="53" fillId="0" borderId="15" xfId="0" applyFont="1" applyFill="1" applyBorder="1" applyAlignment="1">
      <alignment horizontal="center" vertical="center" wrapText="1"/>
    </xf>
    <xf numFmtId="0" fontId="54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1" fillId="0" borderId="0" xfId="0" applyFont="1" applyFill="1" applyAlignment="1">
      <alignment vertical="top" wrapText="1"/>
    </xf>
    <xf numFmtId="49" fontId="0" fillId="0" borderId="0" xfId="0" applyNumberFormat="1" applyFont="1" applyAlignment="1" applyProtection="1">
      <alignment vertical="top" wrapText="1"/>
      <protection locked="0"/>
    </xf>
    <xf numFmtId="0" fontId="5" fillId="0" borderId="0" xfId="15"/>
    <xf numFmtId="0" fontId="57" fillId="0" borderId="28" xfId="16" applyFont="1" applyBorder="1" applyAlignment="1">
      <alignment horizontal="center" vertical="center" wrapText="1"/>
    </xf>
    <xf numFmtId="0" fontId="57" fillId="0" borderId="32" xfId="3" applyFont="1" applyBorder="1" applyAlignment="1">
      <alignment horizontal="center" wrapText="1"/>
    </xf>
    <xf numFmtId="0" fontId="57" fillId="0" borderId="37" xfId="3" applyFont="1" applyBorder="1" applyAlignment="1">
      <alignment horizontal="center" wrapText="1"/>
    </xf>
    <xf numFmtId="0" fontId="5" fillId="0" borderId="0" xfId="3" applyFont="1" applyBorder="1"/>
    <xf numFmtId="0" fontId="58" fillId="0" borderId="0" xfId="3" applyFont="1" applyBorder="1" applyAlignment="1">
      <alignment horizontal="center" vertical="center" wrapText="1"/>
    </xf>
    <xf numFmtId="170" fontId="58" fillId="0" borderId="41" xfId="3" applyNumberFormat="1" applyFont="1" applyBorder="1" applyAlignment="1">
      <alignment horizontal="center" vertical="center" wrapText="1"/>
    </xf>
    <xf numFmtId="171" fontId="6" fillId="0" borderId="0" xfId="3" applyNumberFormat="1" applyFont="1" applyAlignment="1">
      <alignment horizontal="center"/>
    </xf>
    <xf numFmtId="0" fontId="58" fillId="0" borderId="0" xfId="3" applyFont="1" applyBorder="1" applyAlignment="1">
      <alignment horizontal="left" vertical="center" wrapText="1"/>
    </xf>
    <xf numFmtId="0" fontId="6" fillId="0" borderId="0" xfId="3" applyFont="1"/>
    <xf numFmtId="170" fontId="59" fillId="0" borderId="44" xfId="3" applyNumberFormat="1" applyFont="1" applyFill="1" applyBorder="1" applyAlignment="1">
      <alignment horizontal="center" vertical="center" wrapText="1"/>
    </xf>
    <xf numFmtId="0" fontId="58" fillId="3" borderId="0" xfId="17" applyFont="1" applyFill="1" applyBorder="1" applyAlignment="1">
      <alignment vertical="center" wrapText="1"/>
    </xf>
    <xf numFmtId="170" fontId="5" fillId="0" borderId="0" xfId="3" applyNumberFormat="1" applyFont="1"/>
    <xf numFmtId="0" fontId="6" fillId="0" borderId="0" xfId="3" applyFont="1" applyBorder="1" applyAlignment="1">
      <alignment horizontal="center" vertical="center" wrapText="1"/>
    </xf>
    <xf numFmtId="0" fontId="60" fillId="0" borderId="0" xfId="3" applyFont="1" applyAlignment="1">
      <alignment horizontal="left" vertical="center" wrapText="1"/>
    </xf>
    <xf numFmtId="0" fontId="28" fillId="0" borderId="5" xfId="3" applyFont="1" applyFill="1" applyBorder="1" applyAlignment="1">
      <alignment horizontal="left" vertical="center" wrapText="1"/>
    </xf>
    <xf numFmtId="0" fontId="28" fillId="0" borderId="15" xfId="3" applyFont="1" applyFill="1" applyBorder="1" applyAlignment="1">
      <alignment horizontal="right" vertical="top" wrapText="1"/>
    </xf>
    <xf numFmtId="10" fontId="9" fillId="2" borderId="0" xfId="18" applyNumberFormat="1" applyFont="1" applyFill="1" applyAlignment="1">
      <alignment horizontal="center"/>
    </xf>
    <xf numFmtId="9" fontId="9" fillId="2" borderId="0" xfId="18" applyFont="1" applyFill="1" applyAlignment="1">
      <alignment horizontal="center"/>
    </xf>
    <xf numFmtId="0" fontId="61" fillId="0" borderId="0" xfId="3" applyFont="1" applyAlignment="1">
      <alignment vertical="top" wrapText="1"/>
    </xf>
    <xf numFmtId="0" fontId="1" fillId="0" borderId="0" xfId="3" applyFont="1" applyAlignment="1">
      <alignment vertical="top" wrapText="1"/>
    </xf>
    <xf numFmtId="0" fontId="6" fillId="0" borderId="0" xfId="3" applyFont="1" applyAlignment="1">
      <alignment vertical="center" wrapText="1"/>
    </xf>
    <xf numFmtId="0" fontId="9" fillId="0" borderId="0" xfId="22" applyFont="1"/>
    <xf numFmtId="167" fontId="67" fillId="0" borderId="0" xfId="0" applyNumberFormat="1" applyFont="1" applyAlignment="1">
      <alignment horizontal="center"/>
    </xf>
    <xf numFmtId="0" fontId="67" fillId="0" borderId="0" xfId="0" applyFont="1"/>
    <xf numFmtId="0" fontId="66" fillId="0" borderId="0" xfId="22" applyFont="1" applyBorder="1" applyAlignment="1">
      <alignment vertical="top"/>
    </xf>
    <xf numFmtId="164" fontId="33" fillId="0" borderId="0" xfId="22" applyNumberFormat="1" applyFont="1" applyBorder="1" applyAlignment="1">
      <alignment vertical="top"/>
    </xf>
    <xf numFmtId="0" fontId="68" fillId="0" borderId="0" xfId="22" applyFont="1" applyBorder="1" applyAlignment="1">
      <alignment horizontal="center" wrapText="1"/>
    </xf>
    <xf numFmtId="0" fontId="10" fillId="0" borderId="0" xfId="22" applyFont="1"/>
    <xf numFmtId="0" fontId="10" fillId="0" borderId="0" xfId="22" applyFont="1" applyAlignment="1">
      <alignment horizontal="right" vertical="center"/>
    </xf>
    <xf numFmtId="0" fontId="10" fillId="0" borderId="0" xfId="22" applyFont="1" applyAlignment="1">
      <alignment horizontal="left" vertical="center"/>
    </xf>
    <xf numFmtId="0" fontId="9" fillId="0" borderId="0" xfId="22" applyFont="1" applyAlignment="1">
      <alignment horizontal="center" vertical="center"/>
    </xf>
    <xf numFmtId="0" fontId="9" fillId="3" borderId="0" xfId="23" applyFont="1" applyFill="1"/>
    <xf numFmtId="0" fontId="10" fillId="3" borderId="0" xfId="23" applyFont="1" applyFill="1" applyAlignment="1">
      <alignment horizontal="center"/>
    </xf>
    <xf numFmtId="0" fontId="10" fillId="3" borderId="0" xfId="24" applyFont="1" applyFill="1" applyBorder="1" applyAlignment="1">
      <alignment horizontal="center" wrapText="1"/>
    </xf>
    <xf numFmtId="0" fontId="69" fillId="0" borderId="0" xfId="0" applyFont="1" applyAlignment="1">
      <alignment horizontal="center" vertical="center"/>
    </xf>
    <xf numFmtId="0" fontId="9" fillId="3" borderId="0" xfId="23" applyFont="1" applyFill="1" applyAlignment="1">
      <alignment horizontal="center" vertical="center"/>
    </xf>
    <xf numFmtId="0" fontId="70" fillId="0" borderId="32" xfId="22" applyFont="1" applyBorder="1" applyAlignment="1">
      <alignment horizontal="center" vertical="center" wrapText="1"/>
    </xf>
    <xf numFmtId="0" fontId="10" fillId="0" borderId="41" xfId="22" applyFont="1" applyBorder="1"/>
    <xf numFmtId="0" fontId="71" fillId="0" borderId="32" xfId="22" applyFont="1" applyBorder="1" applyAlignment="1">
      <alignment horizontal="center" vertical="center" wrapText="1"/>
    </xf>
    <xf numFmtId="0" fontId="10" fillId="0" borderId="41" xfId="22" applyFont="1" applyBorder="1" applyAlignment="1">
      <alignment horizontal="center" vertical="center"/>
    </xf>
    <xf numFmtId="0" fontId="9" fillId="0" borderId="0" xfId="22" applyFont="1" applyBorder="1"/>
    <xf numFmtId="164" fontId="9" fillId="0" borderId="0" xfId="25" applyFont="1" applyBorder="1"/>
    <xf numFmtId="0" fontId="33" fillId="0" borderId="15" xfId="22" applyFont="1" applyBorder="1" applyAlignment="1">
      <alignment horizontal="center" vertical="center"/>
    </xf>
    <xf numFmtId="0" fontId="33" fillId="0" borderId="15" xfId="22" applyFont="1" applyBorder="1" applyAlignment="1">
      <alignment horizontal="center" vertical="center" wrapText="1"/>
    </xf>
    <xf numFmtId="2" fontId="9" fillId="0" borderId="8" xfId="22" applyNumberFormat="1" applyFont="1" applyBorder="1" applyAlignment="1">
      <alignment horizontal="center" vertical="center"/>
    </xf>
    <xf numFmtId="1" fontId="9" fillId="0" borderId="15" xfId="22" applyNumberFormat="1" applyFont="1" applyBorder="1" applyAlignment="1">
      <alignment horizontal="center" vertical="center"/>
    </xf>
    <xf numFmtId="0" fontId="66" fillId="0" borderId="15" xfId="22" applyFont="1" applyBorder="1" applyAlignment="1">
      <alignment vertical="justify"/>
    </xf>
    <xf numFmtId="164" fontId="66" fillId="0" borderId="15" xfId="25" applyFont="1" applyBorder="1" applyAlignment="1">
      <alignment horizontal="center" vertical="center"/>
    </xf>
    <xf numFmtId="173" fontId="66" fillId="0" borderId="15" xfId="25" applyNumberFormat="1" applyFont="1" applyBorder="1" applyAlignment="1">
      <alignment horizontal="center" vertical="center"/>
    </xf>
    <xf numFmtId="164" fontId="33" fillId="0" borderId="15" xfId="25" applyFont="1" applyBorder="1" applyAlignment="1">
      <alignment horizontal="center" vertical="center"/>
    </xf>
    <xf numFmtId="0" fontId="72" fillId="0" borderId="15" xfId="22" applyFont="1" applyBorder="1" applyAlignment="1">
      <alignment vertical="justify"/>
    </xf>
    <xf numFmtId="164" fontId="72" fillId="0" borderId="15" xfId="25" applyFont="1" applyBorder="1" applyAlignment="1">
      <alignment horizontal="center" vertical="center"/>
    </xf>
    <xf numFmtId="0" fontId="66" fillId="0" borderId="15" xfId="22" applyFont="1" applyBorder="1" applyAlignment="1">
      <alignment horizontal="left" vertical="center" wrapText="1"/>
    </xf>
    <xf numFmtId="164" fontId="66" fillId="0" borderId="15" xfId="25" applyFont="1" applyFill="1" applyBorder="1" applyAlignment="1">
      <alignment horizontal="center" vertical="center" wrapText="1"/>
    </xf>
    <xf numFmtId="0" fontId="9" fillId="0" borderId="0" xfId="22" applyFont="1" applyBorder="1" applyAlignment="1">
      <alignment horizontal="center" wrapText="1"/>
    </xf>
    <xf numFmtId="0" fontId="9" fillId="4" borderId="0" xfId="22" applyFont="1" applyFill="1"/>
    <xf numFmtId="0" fontId="33" fillId="4" borderId="15" xfId="22" applyFont="1" applyFill="1" applyBorder="1" applyAlignment="1">
      <alignment horizontal="right" vertical="center" wrapText="1"/>
    </xf>
    <xf numFmtId="164" fontId="33" fillId="4" borderId="15" xfId="25" applyFont="1" applyFill="1" applyBorder="1" applyAlignment="1">
      <alignment horizontal="center" vertical="center"/>
    </xf>
    <xf numFmtId="164" fontId="10" fillId="0" borderId="15" xfId="25" applyFont="1" applyFill="1" applyBorder="1" applyAlignment="1">
      <alignment horizontal="center" vertical="center"/>
    </xf>
    <xf numFmtId="0" fontId="9" fillId="0" borderId="15" xfId="22" applyFont="1" applyBorder="1" applyAlignment="1">
      <alignment horizontal="center" vertical="center" wrapText="1"/>
    </xf>
    <xf numFmtId="173" fontId="66" fillId="0" borderId="15" xfId="25" applyNumberFormat="1" applyFont="1" applyFill="1" applyBorder="1" applyAlignment="1">
      <alignment horizontal="center" vertical="center" wrapText="1"/>
    </xf>
    <xf numFmtId="164" fontId="66" fillId="0" borderId="15" xfId="25" applyNumberFormat="1" applyFont="1" applyFill="1" applyBorder="1" applyAlignment="1">
      <alignment horizontal="center" vertical="center" wrapText="1"/>
    </xf>
    <xf numFmtId="0" fontId="10" fillId="4" borderId="15" xfId="22" applyFont="1" applyFill="1" applyBorder="1" applyAlignment="1">
      <alignment horizontal="center"/>
    </xf>
    <xf numFmtId="0" fontId="33" fillId="4" borderId="15" xfId="22" applyFont="1" applyFill="1" applyBorder="1" applyAlignment="1">
      <alignment horizontal="right" vertical="center"/>
    </xf>
    <xf numFmtId="174" fontId="33" fillId="4" borderId="15" xfId="25" applyNumberFormat="1" applyFont="1" applyFill="1" applyBorder="1" applyAlignment="1">
      <alignment horizontal="center" vertical="center"/>
    </xf>
    <xf numFmtId="164" fontId="9" fillId="0" borderId="0" xfId="22" applyNumberFormat="1" applyFont="1"/>
    <xf numFmtId="0" fontId="10" fillId="4" borderId="15" xfId="22" applyFont="1" applyFill="1" applyBorder="1" applyAlignment="1">
      <alignment horizontal="center" vertical="center"/>
    </xf>
    <xf numFmtId="164" fontId="33" fillId="4" borderId="15" xfId="25" applyFont="1" applyFill="1" applyBorder="1" applyAlignment="1">
      <alignment horizontal="center" vertical="center" wrapText="1"/>
    </xf>
    <xf numFmtId="2" fontId="9" fillId="0" borderId="0" xfId="22" applyNumberFormat="1" applyFont="1"/>
    <xf numFmtId="2" fontId="9" fillId="0" borderId="15" xfId="22" applyNumberFormat="1" applyFont="1" applyBorder="1" applyAlignment="1">
      <alignment horizontal="center" vertical="center"/>
    </xf>
    <xf numFmtId="0" fontId="66" fillId="0" borderId="15" xfId="22" applyFont="1" applyBorder="1" applyAlignment="1">
      <alignment horizontal="left" vertical="center"/>
    </xf>
    <xf numFmtId="49" fontId="9" fillId="0" borderId="15" xfId="22" applyNumberFormat="1" applyFont="1" applyBorder="1" applyAlignment="1">
      <alignment horizontal="center" vertical="center"/>
    </xf>
    <xf numFmtId="0" fontId="9" fillId="0" borderId="15" xfId="22" applyFont="1" applyBorder="1" applyAlignment="1">
      <alignment horizontal="center" vertical="center"/>
    </xf>
    <xf numFmtId="0" fontId="9" fillId="4" borderId="15" xfId="22" applyFont="1" applyFill="1" applyBorder="1" applyAlignment="1">
      <alignment horizontal="center" vertical="center"/>
    </xf>
    <xf numFmtId="0" fontId="33" fillId="3" borderId="14" xfId="22" applyFont="1" applyFill="1" applyBorder="1" applyAlignment="1"/>
    <xf numFmtId="0" fontId="33" fillId="3" borderId="12" xfId="22" applyFont="1" applyFill="1" applyBorder="1" applyAlignment="1"/>
    <xf numFmtId="0" fontId="9" fillId="3" borderId="0" xfId="23" applyFont="1" applyFill="1" applyBorder="1"/>
    <xf numFmtId="164" fontId="65" fillId="0" borderId="15" xfId="25" applyFont="1" applyBorder="1" applyAlignment="1">
      <alignment horizontal="center" vertical="center" wrapText="1"/>
    </xf>
    <xf numFmtId="164" fontId="9" fillId="3" borderId="0" xfId="23" applyNumberFormat="1" applyFont="1" applyFill="1"/>
    <xf numFmtId="0" fontId="66" fillId="0" borderId="12" xfId="22" applyFont="1" applyBorder="1" applyAlignment="1">
      <alignment horizontal="left"/>
    </xf>
    <xf numFmtId="0" fontId="33" fillId="4" borderId="12" xfId="22" applyFont="1" applyFill="1" applyBorder="1" applyAlignment="1">
      <alignment horizontal="left"/>
    </xf>
    <xf numFmtId="0" fontId="9" fillId="0" borderId="0" xfId="22" applyFont="1" applyAlignment="1">
      <alignment vertical="justify"/>
    </xf>
    <xf numFmtId="0" fontId="9" fillId="0" borderId="0" xfId="27" applyFont="1"/>
    <xf numFmtId="0" fontId="66" fillId="0" borderId="0" xfId="27" applyFont="1" applyAlignment="1">
      <alignment horizontal="left"/>
    </xf>
    <xf numFmtId="167" fontId="66" fillId="0" borderId="0" xfId="27" applyNumberFormat="1" applyFont="1" applyAlignment="1">
      <alignment horizontal="center"/>
    </xf>
    <xf numFmtId="0" fontId="9" fillId="0" borderId="0" xfId="27" applyFont="1" applyFill="1"/>
    <xf numFmtId="175" fontId="5" fillId="3" borderId="0" xfId="3" applyNumberFormat="1" applyFont="1" applyFill="1" applyAlignment="1" applyProtection="1">
      <alignment horizontal="right" vertical="top" wrapText="1"/>
      <protection locked="0"/>
    </xf>
    <xf numFmtId="49" fontId="74" fillId="3" borderId="0" xfId="3" applyNumberFormat="1" applyFont="1" applyFill="1" applyAlignment="1" applyProtection="1">
      <alignment vertical="top"/>
      <protection locked="0"/>
    </xf>
    <xf numFmtId="0" fontId="7" fillId="3" borderId="0" xfId="20" applyFont="1" applyFill="1" applyAlignment="1">
      <alignment vertical="top"/>
    </xf>
    <xf numFmtId="0" fontId="75" fillId="3" borderId="0" xfId="20" applyFont="1" applyFill="1" applyAlignment="1">
      <alignment vertical="top"/>
    </xf>
    <xf numFmtId="0" fontId="7" fillId="3" borderId="0" xfId="3" applyFont="1" applyFill="1" applyAlignment="1">
      <alignment vertical="top"/>
    </xf>
    <xf numFmtId="0" fontId="4" fillId="3" borderId="0" xfId="3" applyFont="1" applyFill="1" applyAlignment="1">
      <alignment vertical="top"/>
    </xf>
    <xf numFmtId="0" fontId="7" fillId="3" borderId="0" xfId="20" applyFont="1" applyFill="1" applyAlignment="1">
      <alignment horizontal="left" vertical="top" wrapText="1"/>
    </xf>
    <xf numFmtId="0" fontId="5" fillId="3" borderId="0" xfId="3" applyFont="1" applyFill="1" applyAlignment="1">
      <alignment vertical="top"/>
    </xf>
    <xf numFmtId="0" fontId="7" fillId="3" borderId="0" xfId="20" quotePrefix="1" applyFont="1" applyFill="1" applyAlignment="1">
      <alignment vertical="top"/>
    </xf>
    <xf numFmtId="0" fontId="76" fillId="3" borderId="0" xfId="29" applyFont="1" applyFill="1"/>
    <xf numFmtId="49" fontId="4" fillId="3" borderId="0" xfId="3" applyNumberFormat="1" applyFont="1" applyFill="1" applyAlignment="1" applyProtection="1">
      <alignment horizontal="left" vertical="top"/>
      <protection locked="0"/>
    </xf>
    <xf numFmtId="49" fontId="5" fillId="3" borderId="0" xfId="3" applyNumberFormat="1" applyFont="1" applyFill="1" applyAlignment="1" applyProtection="1">
      <alignment vertical="top"/>
      <protection locked="0"/>
    </xf>
    <xf numFmtId="166" fontId="74" fillId="3" borderId="0" xfId="21" applyNumberFormat="1" applyFont="1" applyFill="1" applyAlignment="1" applyProtection="1">
      <alignment horizontal="right" vertical="top"/>
      <protection locked="0"/>
    </xf>
    <xf numFmtId="49" fontId="74" fillId="3" borderId="0" xfId="3" applyNumberFormat="1" applyFont="1" applyFill="1" applyAlignment="1" applyProtection="1">
      <alignment horizontal="left" vertical="top"/>
      <protection locked="0"/>
    </xf>
    <xf numFmtId="0" fontId="4" fillId="3" borderId="0" xfId="30" applyFont="1" applyFill="1" applyAlignment="1">
      <alignment wrapText="1"/>
    </xf>
    <xf numFmtId="49" fontId="5" fillId="3" borderId="0" xfId="3" applyNumberFormat="1" applyFont="1" applyFill="1" applyAlignment="1" applyProtection="1">
      <alignment horizontal="center" vertical="center"/>
      <protection locked="0"/>
    </xf>
    <xf numFmtId="175" fontId="79" fillId="3" borderId="0" xfId="3" applyNumberFormat="1" applyFont="1" applyFill="1" applyAlignment="1" applyProtection="1">
      <alignment horizontal="right" vertical="top" wrapText="1"/>
      <protection locked="0"/>
    </xf>
    <xf numFmtId="49" fontId="78" fillId="3" borderId="51" xfId="31" applyNumberFormat="1" applyFont="1" applyFill="1" applyBorder="1" applyAlignment="1" applyProtection="1">
      <alignment horizontal="center" vertical="center" wrapText="1"/>
      <protection locked="0"/>
    </xf>
    <xf numFmtId="176" fontId="78" fillId="3" borderId="55" xfId="31" applyNumberFormat="1" applyFont="1" applyFill="1" applyBorder="1" applyAlignment="1" applyProtection="1">
      <alignment horizontal="center" vertical="top" wrapText="1"/>
      <protection locked="0"/>
    </xf>
    <xf numFmtId="176" fontId="78" fillId="3" borderId="51" xfId="31" applyNumberFormat="1" applyFont="1" applyFill="1" applyBorder="1" applyAlignment="1" applyProtection="1">
      <alignment horizontal="center" vertical="top" wrapText="1"/>
      <protection locked="0"/>
    </xf>
    <xf numFmtId="176" fontId="78" fillId="3" borderId="56" xfId="31" applyNumberFormat="1" applyFont="1" applyFill="1" applyBorder="1" applyAlignment="1" applyProtection="1">
      <alignment horizontal="center" vertical="top" wrapText="1"/>
      <protection locked="0"/>
    </xf>
    <xf numFmtId="175" fontId="78" fillId="3" borderId="55" xfId="31" applyNumberFormat="1" applyFont="1" applyFill="1" applyBorder="1" applyAlignment="1" applyProtection="1">
      <alignment horizontal="center" vertical="center" wrapText="1"/>
      <protection locked="0"/>
    </xf>
    <xf numFmtId="49" fontId="78" fillId="3" borderId="51" xfId="31" applyNumberFormat="1" applyFont="1" applyFill="1" applyBorder="1" applyAlignment="1" applyProtection="1">
      <alignment horizontal="left" vertical="center" wrapText="1"/>
      <protection locked="0"/>
    </xf>
    <xf numFmtId="168" fontId="78" fillId="3" borderId="51" xfId="21" applyNumberFormat="1" applyFont="1" applyFill="1" applyBorder="1" applyAlignment="1" applyProtection="1">
      <alignment horizontal="right" vertical="center"/>
      <protection locked="0"/>
    </xf>
    <xf numFmtId="168" fontId="78" fillId="3" borderId="51" xfId="21" applyNumberFormat="1" applyFont="1" applyFill="1" applyBorder="1" applyAlignment="1" applyProtection="1">
      <alignment horizontal="right" vertical="top"/>
      <protection locked="0"/>
    </xf>
    <xf numFmtId="168" fontId="78" fillId="3" borderId="56" xfId="21" applyNumberFormat="1" applyFont="1" applyFill="1" applyBorder="1" applyAlignment="1" applyProtection="1">
      <alignment horizontal="right" vertical="top"/>
      <protection locked="0"/>
    </xf>
    <xf numFmtId="0" fontId="78" fillId="3" borderId="51" xfId="31" applyFont="1" applyFill="1" applyBorder="1" applyAlignment="1">
      <alignment horizontal="justify" vertical="center"/>
    </xf>
    <xf numFmtId="177" fontId="78" fillId="3" borderId="51" xfId="21" applyNumberFormat="1" applyFont="1" applyFill="1" applyBorder="1" applyAlignment="1" applyProtection="1">
      <alignment horizontal="right" vertical="center"/>
      <protection locked="0"/>
    </xf>
    <xf numFmtId="177" fontId="78" fillId="3" borderId="51" xfId="21" applyNumberFormat="1" applyFont="1" applyFill="1" applyBorder="1" applyAlignment="1" applyProtection="1">
      <alignment horizontal="right" vertical="top"/>
      <protection locked="0"/>
    </xf>
    <xf numFmtId="177" fontId="78" fillId="3" borderId="56" xfId="21" applyNumberFormat="1" applyFont="1" applyFill="1" applyBorder="1" applyAlignment="1" applyProtection="1">
      <alignment horizontal="right" vertical="top"/>
      <protection locked="0"/>
    </xf>
    <xf numFmtId="177" fontId="78" fillId="3" borderId="56" xfId="21" applyNumberFormat="1" applyFont="1" applyFill="1" applyBorder="1" applyAlignment="1" applyProtection="1">
      <alignment horizontal="right" vertical="center"/>
      <protection locked="0"/>
    </xf>
    <xf numFmtId="177" fontId="78" fillId="3" borderId="51" xfId="21" applyNumberFormat="1" applyFont="1" applyFill="1" applyBorder="1" applyAlignment="1">
      <alignment horizontal="center" vertical="center"/>
    </xf>
    <xf numFmtId="177" fontId="78" fillId="3" borderId="51" xfId="21" applyNumberFormat="1" applyFont="1" applyFill="1" applyBorder="1" applyAlignment="1">
      <alignment horizontal="center" vertical="center" wrapText="1"/>
    </xf>
    <xf numFmtId="177" fontId="78" fillId="3" borderId="56" xfId="21" applyNumberFormat="1" applyFont="1" applyFill="1" applyBorder="1" applyAlignment="1">
      <alignment horizontal="center" vertical="center"/>
    </xf>
    <xf numFmtId="177" fontId="5" fillId="3" borderId="0" xfId="3" applyNumberFormat="1" applyFont="1" applyFill="1" applyAlignment="1" applyProtection="1">
      <alignment horizontal="right" vertical="top" wrapText="1"/>
      <protection locked="0"/>
    </xf>
    <xf numFmtId="175" fontId="78" fillId="3" borderId="51" xfId="31" applyNumberFormat="1" applyFont="1" applyFill="1" applyBorder="1" applyAlignment="1" applyProtection="1">
      <alignment horizontal="left" vertical="center" wrapText="1"/>
      <protection locked="0"/>
    </xf>
    <xf numFmtId="177" fontId="78" fillId="3" borderId="51" xfId="21" applyNumberFormat="1" applyFont="1" applyFill="1" applyBorder="1" applyAlignment="1" applyProtection="1">
      <alignment horizontal="right" vertical="center" wrapText="1"/>
      <protection locked="0"/>
    </xf>
    <xf numFmtId="177" fontId="78" fillId="3" borderId="56" xfId="21" applyNumberFormat="1" applyFont="1" applyFill="1" applyBorder="1" applyAlignment="1" applyProtection="1">
      <alignment horizontal="right" vertical="center" wrapText="1"/>
      <protection locked="0"/>
    </xf>
    <xf numFmtId="175" fontId="5" fillId="3" borderId="0" xfId="3" applyNumberFormat="1" applyFont="1" applyFill="1" applyBorder="1" applyAlignment="1" applyProtection="1">
      <alignment horizontal="right" vertical="top" wrapText="1"/>
      <protection locked="0"/>
    </xf>
    <xf numFmtId="49" fontId="78" fillId="3" borderId="57" xfId="31" applyNumberFormat="1" applyFont="1" applyFill="1" applyBorder="1" applyAlignment="1" applyProtection="1">
      <alignment horizontal="left" vertical="center" wrapText="1"/>
      <protection locked="0"/>
    </xf>
    <xf numFmtId="49" fontId="80" fillId="3" borderId="15" xfId="28" applyNumberFormat="1" applyFont="1" applyFill="1" applyBorder="1" applyAlignment="1" applyProtection="1">
      <alignment horizontal="left" vertical="center" wrapText="1"/>
      <protection locked="0"/>
    </xf>
    <xf numFmtId="49" fontId="80" fillId="3" borderId="58" xfId="28" applyNumberFormat="1" applyFont="1" applyFill="1" applyBorder="1" applyAlignment="1" applyProtection="1">
      <alignment horizontal="left" vertical="center" wrapText="1"/>
      <protection locked="0"/>
    </xf>
    <xf numFmtId="177" fontId="80" fillId="3" borderId="50" xfId="21" applyNumberFormat="1" applyFont="1" applyFill="1" applyBorder="1" applyAlignment="1" applyProtection="1">
      <alignment horizontal="right" vertical="center"/>
      <protection locked="0"/>
    </xf>
    <xf numFmtId="177" fontId="80" fillId="3" borderId="59" xfId="21" applyNumberFormat="1" applyFont="1" applyFill="1" applyBorder="1" applyAlignment="1" applyProtection="1">
      <alignment horizontal="right" vertical="center" wrapText="1"/>
      <protection locked="0"/>
    </xf>
    <xf numFmtId="49" fontId="79" fillId="3" borderId="60" xfId="3" applyNumberFormat="1" applyFont="1" applyFill="1" applyBorder="1" applyAlignment="1" applyProtection="1">
      <alignment horizontal="left" vertical="center" wrapText="1"/>
      <protection locked="0"/>
    </xf>
    <xf numFmtId="49" fontId="79" fillId="3" borderId="0" xfId="3" applyNumberFormat="1" applyFont="1" applyFill="1" applyBorder="1" applyAlignment="1" applyProtection="1">
      <alignment horizontal="left" vertical="center" wrapText="1"/>
      <protection locked="0"/>
    </xf>
    <xf numFmtId="49" fontId="81" fillId="3" borderId="50" xfId="28" applyNumberFormat="1" applyFont="1" applyFill="1" applyBorder="1" applyAlignment="1" applyProtection="1">
      <alignment horizontal="left" vertical="center" wrapText="1"/>
      <protection locked="0"/>
    </xf>
    <xf numFmtId="49" fontId="82" fillId="3" borderId="51" xfId="31" applyNumberFormat="1" applyFont="1" applyFill="1" applyBorder="1" applyAlignment="1" applyProtection="1">
      <alignment horizontal="left" vertical="center" wrapText="1"/>
      <protection locked="0"/>
    </xf>
    <xf numFmtId="177" fontId="82" fillId="3" borderId="51" xfId="21" applyNumberFormat="1" applyFont="1" applyFill="1" applyBorder="1" applyAlignment="1" applyProtection="1">
      <alignment horizontal="right" vertical="center"/>
      <protection locked="0"/>
    </xf>
    <xf numFmtId="177" fontId="82" fillId="3" borderId="56" xfId="21" applyNumberFormat="1" applyFont="1" applyFill="1" applyBorder="1" applyAlignment="1" applyProtection="1">
      <alignment horizontal="right" vertical="center"/>
      <protection locked="0"/>
    </xf>
    <xf numFmtId="49" fontId="78" fillId="3" borderId="51" xfId="31" applyNumberFormat="1" applyFont="1" applyFill="1" applyBorder="1" applyAlignment="1" applyProtection="1">
      <alignment vertical="center" wrapText="1"/>
      <protection locked="0"/>
    </xf>
    <xf numFmtId="49" fontId="78" fillId="3" borderId="51" xfId="31" applyNumberFormat="1" applyFont="1" applyFill="1" applyBorder="1" applyAlignment="1" applyProtection="1">
      <alignment horizontal="left" vertical="top" wrapText="1"/>
      <protection locked="0"/>
    </xf>
    <xf numFmtId="49" fontId="82" fillId="3" borderId="61" xfId="31" applyNumberFormat="1" applyFont="1" applyFill="1" applyBorder="1" applyAlignment="1" applyProtection="1">
      <alignment horizontal="center" vertical="top" wrapText="1"/>
      <protection locked="0"/>
    </xf>
    <xf numFmtId="49" fontId="82" fillId="3" borderId="61" xfId="31" applyNumberFormat="1" applyFont="1" applyFill="1" applyBorder="1" applyAlignment="1" applyProtection="1">
      <alignment horizontal="left" wrapText="1"/>
      <protection locked="0"/>
    </xf>
    <xf numFmtId="177" fontId="82" fillId="3" borderId="61" xfId="21" applyNumberFormat="1" applyFont="1" applyFill="1" applyBorder="1" applyAlignment="1" applyProtection="1">
      <alignment horizontal="right"/>
      <protection locked="0"/>
    </xf>
    <xf numFmtId="177" fontId="82" fillId="3" borderId="62" xfId="21" applyNumberFormat="1" applyFont="1" applyFill="1" applyBorder="1" applyAlignment="1" applyProtection="1">
      <alignment horizontal="right"/>
      <protection locked="0"/>
    </xf>
    <xf numFmtId="175" fontId="4" fillId="3" borderId="0" xfId="3" applyNumberFormat="1" applyFont="1" applyFill="1" applyAlignment="1" applyProtection="1">
      <alignment horizontal="right" vertical="top" wrapText="1"/>
      <protection locked="0"/>
    </xf>
    <xf numFmtId="175" fontId="78" fillId="3" borderId="0" xfId="31" applyNumberFormat="1" applyFont="1" applyFill="1" applyBorder="1" applyAlignment="1" applyProtection="1">
      <alignment horizontal="center" vertical="center" wrapText="1"/>
      <protection locked="0"/>
    </xf>
    <xf numFmtId="49" fontId="78" fillId="3" borderId="0" xfId="31" applyNumberFormat="1" applyFont="1" applyFill="1" applyBorder="1" applyAlignment="1" applyProtection="1">
      <alignment horizontal="left" vertical="center" wrapText="1"/>
      <protection locked="0"/>
    </xf>
    <xf numFmtId="49" fontId="82" fillId="3" borderId="0" xfId="31" applyNumberFormat="1" applyFont="1" applyFill="1" applyBorder="1" applyAlignment="1" applyProtection="1">
      <alignment horizontal="left" vertical="center" wrapText="1"/>
      <protection locked="0"/>
    </xf>
    <xf numFmtId="168" fontId="82" fillId="3" borderId="0" xfId="21" applyNumberFormat="1" applyFont="1" applyFill="1" applyBorder="1" applyAlignment="1" applyProtection="1">
      <alignment horizontal="right" vertical="center"/>
      <protection locked="0"/>
    </xf>
    <xf numFmtId="175" fontId="84" fillId="3" borderId="0" xfId="32" applyNumberFormat="1" applyFont="1" applyFill="1" applyAlignment="1" applyProtection="1">
      <alignment horizontal="right" vertical="top" wrapText="1"/>
      <protection locked="0"/>
    </xf>
    <xf numFmtId="175" fontId="84" fillId="3" borderId="0" xfId="32" applyNumberFormat="1" applyFont="1" applyFill="1" applyBorder="1" applyAlignment="1" applyProtection="1">
      <alignment horizontal="right" vertical="top" wrapText="1"/>
      <protection locked="0"/>
    </xf>
    <xf numFmtId="49" fontId="85" fillId="3" borderId="0" xfId="32" applyNumberFormat="1" applyFont="1" applyFill="1" applyAlignment="1" applyProtection="1">
      <alignment vertical="top"/>
      <protection locked="0"/>
    </xf>
    <xf numFmtId="49" fontId="85" fillId="3" borderId="0" xfId="32" applyNumberFormat="1" applyFont="1" applyFill="1" applyAlignment="1" applyProtection="1">
      <alignment horizontal="right" vertical="top"/>
      <protection locked="0"/>
    </xf>
    <xf numFmtId="49" fontId="85" fillId="3" borderId="0" xfId="32" applyNumberFormat="1" applyFont="1" applyFill="1" applyAlignment="1" applyProtection="1">
      <alignment horizontal="left" vertical="top"/>
      <protection locked="0"/>
    </xf>
    <xf numFmtId="0" fontId="5" fillId="3" borderId="0" xfId="3" applyFont="1" applyFill="1"/>
    <xf numFmtId="175" fontId="85" fillId="3" borderId="0" xfId="32" applyNumberFormat="1" applyFont="1" applyFill="1" applyAlignment="1" applyProtection="1">
      <alignment horizontal="right" vertical="top" wrapText="1"/>
      <protection locked="0"/>
    </xf>
    <xf numFmtId="175" fontId="85" fillId="3" borderId="3" xfId="32" applyNumberFormat="1" applyFont="1" applyFill="1" applyBorder="1" applyAlignment="1" applyProtection="1">
      <alignment horizontal="right" vertical="top" wrapText="1"/>
      <protection locked="0"/>
    </xf>
    <xf numFmtId="49" fontId="85" fillId="3" borderId="11" xfId="32" applyNumberFormat="1" applyFont="1" applyFill="1" applyBorder="1" applyAlignment="1" applyProtection="1">
      <alignment vertical="top"/>
      <protection locked="0"/>
    </xf>
    <xf numFmtId="178" fontId="5" fillId="3" borderId="0" xfId="3" applyNumberFormat="1" applyFont="1" applyFill="1"/>
    <xf numFmtId="0" fontId="85" fillId="3" borderId="0" xfId="33" applyFont="1" applyFill="1" applyBorder="1" applyAlignment="1">
      <alignment horizontal="center"/>
    </xf>
    <xf numFmtId="166" fontId="66" fillId="0" borderId="15" xfId="25" applyNumberFormat="1" applyFont="1" applyFill="1" applyBorder="1" applyAlignment="1">
      <alignment horizontal="right" vertical="center" wrapText="1"/>
    </xf>
    <xf numFmtId="0" fontId="42" fillId="0" borderId="0" xfId="0" applyFont="1" applyFill="1" applyAlignment="1">
      <alignment horizontal="left"/>
    </xf>
    <xf numFmtId="0" fontId="42" fillId="0" borderId="0" xfId="0" applyFont="1" applyFill="1"/>
    <xf numFmtId="49" fontId="3" fillId="0" borderId="0" xfId="0" applyNumberFormat="1" applyFont="1" applyAlignment="1" applyProtection="1">
      <alignment vertical="top" wrapText="1"/>
      <protection locked="0"/>
    </xf>
    <xf numFmtId="0" fontId="86" fillId="0" borderId="0" xfId="0" applyFont="1" applyFill="1"/>
    <xf numFmtId="175" fontId="3" fillId="0" borderId="0" xfId="0" applyNumberFormat="1" applyFont="1" applyAlignment="1" applyProtection="1">
      <alignment vertical="top" wrapText="1"/>
      <protection locked="0"/>
    </xf>
    <xf numFmtId="2" fontId="86" fillId="0" borderId="0" xfId="0" applyNumberFormat="1" applyFont="1" applyFill="1"/>
    <xf numFmtId="0" fontId="87" fillId="0" borderId="0" xfId="0" applyFont="1" applyAlignment="1">
      <alignment vertical="center"/>
    </xf>
    <xf numFmtId="0" fontId="42" fillId="0" borderId="0" xfId="0" applyFont="1"/>
    <xf numFmtId="0" fontId="88" fillId="0" borderId="0" xfId="0" applyFont="1"/>
    <xf numFmtId="0" fontId="90" fillId="0" borderId="0" xfId="0" applyFont="1" applyFill="1"/>
    <xf numFmtId="0" fontId="42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center"/>
    </xf>
    <xf numFmtId="164" fontId="42" fillId="0" borderId="0" xfId="0" applyNumberFormat="1" applyFont="1" applyFill="1"/>
    <xf numFmtId="0" fontId="6" fillId="0" borderId="0" xfId="0" applyFont="1" applyFill="1" applyAlignment="1">
      <alignment horizontal="right"/>
    </xf>
    <xf numFmtId="2" fontId="42" fillId="0" borderId="63" xfId="0" applyNumberFormat="1" applyFont="1" applyFill="1" applyBorder="1" applyAlignment="1">
      <alignment horizontal="center" vertical="center" wrapText="1"/>
    </xf>
    <xf numFmtId="2" fontId="42" fillId="0" borderId="64" xfId="0" applyNumberFormat="1" applyFont="1" applyFill="1" applyBorder="1" applyAlignment="1">
      <alignment horizontal="center" vertical="center" wrapText="1"/>
    </xf>
    <xf numFmtId="164" fontId="42" fillId="0" borderId="63" xfId="0" applyNumberFormat="1" applyFont="1" applyFill="1" applyBorder="1" applyAlignment="1">
      <alignment horizontal="center" vertical="center" wrapText="1"/>
    </xf>
    <xf numFmtId="0" fontId="42" fillId="0" borderId="63" xfId="0" applyFont="1" applyFill="1" applyBorder="1" applyAlignment="1">
      <alignment horizontal="center" vertical="center" wrapText="1"/>
    </xf>
    <xf numFmtId="2" fontId="91" fillId="0" borderId="63" xfId="0" applyNumberFormat="1" applyFont="1" applyFill="1" applyBorder="1" applyAlignment="1">
      <alignment horizontal="center" vertical="center" wrapText="1"/>
    </xf>
    <xf numFmtId="0" fontId="42" fillId="0" borderId="65" xfId="0" applyFont="1" applyFill="1" applyBorder="1" applyAlignment="1">
      <alignment horizontal="center" vertical="center" wrapText="1"/>
    </xf>
    <xf numFmtId="0" fontId="42" fillId="0" borderId="65" xfId="0" applyFont="1" applyFill="1" applyBorder="1" applyAlignment="1">
      <alignment horizontal="left" vertical="center" wrapText="1"/>
    </xf>
    <xf numFmtId="0" fontId="92" fillId="0" borderId="14" xfId="0" applyFont="1" applyFill="1" applyBorder="1" applyAlignment="1">
      <alignment horizontal="center" vertical="center" wrapText="1"/>
    </xf>
    <xf numFmtId="2" fontId="92" fillId="0" borderId="65" xfId="0" applyNumberFormat="1" applyFont="1" applyFill="1" applyBorder="1" applyAlignment="1">
      <alignment horizontal="center" vertical="center" wrapText="1"/>
    </xf>
    <xf numFmtId="0" fontId="92" fillId="0" borderId="65" xfId="0" applyNumberFormat="1" applyFont="1" applyFill="1" applyBorder="1" applyAlignment="1">
      <alignment horizontal="left" vertical="center" wrapText="1"/>
    </xf>
    <xf numFmtId="0" fontId="42" fillId="0" borderId="14" xfId="0" applyNumberFormat="1" applyFont="1" applyFill="1" applyBorder="1" applyAlignment="1">
      <alignment horizontal="center" vertical="center" wrapText="1"/>
    </xf>
    <xf numFmtId="4" fontId="42" fillId="0" borderId="65" xfId="0" applyNumberFormat="1" applyFont="1" applyFill="1" applyBorder="1" applyAlignment="1">
      <alignment horizontal="center" vertical="center" wrapText="1"/>
    </xf>
    <xf numFmtId="0" fontId="42" fillId="0" borderId="38" xfId="0" applyFont="1" applyFill="1" applyBorder="1" applyAlignment="1">
      <alignment horizontal="center" vertical="center" wrapText="1"/>
    </xf>
    <xf numFmtId="0" fontId="91" fillId="0" borderId="38" xfId="0" applyFont="1" applyFill="1" applyBorder="1" applyAlignment="1">
      <alignment horizontal="left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66" xfId="0" applyFont="1" applyFill="1" applyBorder="1" applyAlignment="1">
      <alignment horizontal="center" vertical="center" wrapText="1"/>
    </xf>
    <xf numFmtId="0" fontId="42" fillId="0" borderId="38" xfId="0" applyNumberFormat="1" applyFont="1" applyFill="1" applyBorder="1" applyAlignment="1">
      <alignment horizontal="left" vertical="center" wrapText="1"/>
    </xf>
    <xf numFmtId="0" fontId="42" fillId="0" borderId="3" xfId="0" applyFont="1" applyFill="1" applyBorder="1" applyAlignment="1">
      <alignment horizontal="center" vertical="center"/>
    </xf>
    <xf numFmtId="0" fontId="91" fillId="0" borderId="63" xfId="0" applyFont="1" applyFill="1" applyBorder="1" applyAlignment="1">
      <alignment horizontal="center" vertical="center" wrapText="1"/>
    </xf>
    <xf numFmtId="4" fontId="86" fillId="0" borderId="0" xfId="0" applyNumberFormat="1" applyFont="1" applyFill="1"/>
    <xf numFmtId="0" fontId="42" fillId="0" borderId="65" xfId="0" applyNumberFormat="1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42" fillId="0" borderId="65" xfId="0" applyNumberFormat="1" applyFont="1" applyFill="1" applyBorder="1" applyAlignment="1">
      <alignment horizontal="left" vertical="center" wrapText="1"/>
    </xf>
    <xf numFmtId="164" fontId="42" fillId="0" borderId="14" xfId="0" applyNumberFormat="1" applyFont="1" applyFill="1" applyBorder="1" applyAlignment="1">
      <alignment horizontal="center" vertical="center" wrapText="1"/>
    </xf>
    <xf numFmtId="164" fontId="42" fillId="0" borderId="66" xfId="0" applyNumberFormat="1" applyFont="1" applyFill="1" applyBorder="1" applyAlignment="1">
      <alignment horizontal="center" vertical="center" wrapText="1"/>
    </xf>
    <xf numFmtId="4" fontId="91" fillId="0" borderId="38" xfId="0" applyNumberFormat="1" applyFont="1" applyFill="1" applyBorder="1" applyAlignment="1">
      <alignment horizontal="center" vertical="center"/>
    </xf>
    <xf numFmtId="0" fontId="91" fillId="0" borderId="63" xfId="0" applyFont="1" applyFill="1" applyBorder="1" applyAlignment="1">
      <alignment horizontal="left" vertical="center" wrapText="1"/>
    </xf>
    <xf numFmtId="0" fontId="42" fillId="0" borderId="63" xfId="0" applyNumberFormat="1" applyFont="1" applyFill="1" applyBorder="1" applyAlignment="1">
      <alignment horizontal="left" vertical="center" wrapText="1"/>
    </xf>
    <xf numFmtId="0" fontId="42" fillId="0" borderId="63" xfId="0" applyFont="1" applyFill="1" applyBorder="1" applyAlignment="1">
      <alignment horizontal="center" vertical="center"/>
    </xf>
    <xf numFmtId="4" fontId="91" fillId="0" borderId="63" xfId="0" applyNumberFormat="1" applyFont="1" applyFill="1" applyBorder="1" applyAlignment="1">
      <alignment horizontal="center" vertical="center"/>
    </xf>
    <xf numFmtId="2" fontId="91" fillId="0" borderId="63" xfId="0" applyNumberFormat="1" applyFont="1" applyFill="1" applyBorder="1" applyAlignment="1">
      <alignment horizontal="left" vertical="center" wrapText="1"/>
    </xf>
    <xf numFmtId="164" fontId="86" fillId="0" borderId="0" xfId="0" applyNumberFormat="1" applyFont="1" applyFill="1"/>
    <xf numFmtId="0" fontId="42" fillId="0" borderId="0" xfId="0" applyFont="1" applyFill="1" applyBorder="1" applyAlignment="1">
      <alignment horizontal="left" wrapText="1"/>
    </xf>
    <xf numFmtId="0" fontId="93" fillId="0" borderId="0" xfId="0" applyFont="1" applyFill="1" applyAlignment="1">
      <alignment wrapText="1"/>
    </xf>
    <xf numFmtId="0" fontId="42" fillId="0" borderId="0" xfId="0" applyFont="1" applyFill="1" applyAlignment="1">
      <alignment wrapText="1"/>
    </xf>
    <xf numFmtId="0" fontId="45" fillId="0" borderId="0" xfId="0" applyFont="1"/>
    <xf numFmtId="0" fontId="86" fillId="0" borderId="0" xfId="0" applyFont="1" applyFill="1" applyAlignment="1">
      <alignment horizontal="center"/>
    </xf>
    <xf numFmtId="0" fontId="86" fillId="0" borderId="0" xfId="0" applyFont="1" applyFill="1" applyAlignment="1">
      <alignment horizontal="center" wrapText="1"/>
    </xf>
    <xf numFmtId="0" fontId="95" fillId="0" borderId="0" xfId="34" applyFont="1" applyAlignment="1">
      <alignment vertical="top"/>
    </xf>
    <xf numFmtId="0" fontId="96" fillId="0" borderId="0" xfId="34" applyFont="1" applyAlignment="1">
      <alignment vertical="top"/>
    </xf>
    <xf numFmtId="0" fontId="95" fillId="0" borderId="0" xfId="34" applyFont="1" applyAlignment="1">
      <alignment horizontal="right" vertical="top"/>
    </xf>
    <xf numFmtId="0" fontId="95" fillId="0" borderId="0" xfId="34" quotePrefix="1" applyFont="1" applyAlignment="1">
      <alignment vertical="top"/>
    </xf>
    <xf numFmtId="0" fontId="95" fillId="0" borderId="0" xfId="34" quotePrefix="1" applyFont="1" applyAlignment="1"/>
    <xf numFmtId="0" fontId="96" fillId="0" borderId="0" xfId="34" applyFont="1" applyAlignment="1">
      <alignment horizontal="center" vertical="top"/>
    </xf>
    <xf numFmtId="0" fontId="95" fillId="0" borderId="0" xfId="34" applyFont="1" applyBorder="1" applyAlignment="1">
      <alignment horizontal="center" vertical="top"/>
    </xf>
    <xf numFmtId="0" fontId="96" fillId="0" borderId="0" xfId="34" applyFont="1" applyAlignment="1">
      <alignment horizontal="right" vertical="top"/>
    </xf>
    <xf numFmtId="0" fontId="96" fillId="0" borderId="67" xfId="34" applyFont="1" applyBorder="1" applyAlignment="1">
      <alignment horizontal="center" vertical="top"/>
    </xf>
    <xf numFmtId="0" fontId="95" fillId="0" borderId="67" xfId="34" applyFont="1" applyBorder="1" applyAlignment="1">
      <alignment horizontal="center" vertical="top"/>
    </xf>
    <xf numFmtId="0" fontId="95" fillId="0" borderId="68" xfId="34" applyFont="1" applyBorder="1" applyAlignment="1">
      <alignment horizontal="center" vertical="top"/>
    </xf>
    <xf numFmtId="0" fontId="96" fillId="0" borderId="63" xfId="34" applyFont="1" applyBorder="1" applyAlignment="1">
      <alignment horizontal="center" vertical="center" wrapText="1"/>
    </xf>
    <xf numFmtId="0" fontId="98" fillId="0" borderId="0" xfId="34" applyFont="1" applyAlignment="1">
      <alignment vertical="top"/>
    </xf>
    <xf numFmtId="0" fontId="99" fillId="0" borderId="0" xfId="34" applyFont="1" applyAlignment="1">
      <alignment vertical="top"/>
    </xf>
    <xf numFmtId="0" fontId="99" fillId="0" borderId="71" xfId="34" applyFont="1" applyBorder="1" applyAlignment="1">
      <alignment vertical="top"/>
    </xf>
    <xf numFmtId="0" fontId="96" fillId="0" borderId="6" xfId="34" applyFont="1" applyBorder="1" applyAlignment="1">
      <alignment vertical="top"/>
    </xf>
    <xf numFmtId="0" fontId="96" fillId="0" borderId="7" xfId="34" applyFont="1" applyBorder="1" applyAlignment="1">
      <alignment vertical="top"/>
    </xf>
    <xf numFmtId="0" fontId="100" fillId="0" borderId="1" xfId="34" applyFont="1" applyBorder="1" applyAlignment="1">
      <alignment vertical="top"/>
    </xf>
    <xf numFmtId="0" fontId="100" fillId="0" borderId="1" xfId="34" applyFont="1" applyBorder="1" applyAlignment="1">
      <alignment vertical="top" wrapText="1"/>
    </xf>
    <xf numFmtId="0" fontId="100" fillId="0" borderId="2" xfId="34" applyFont="1" applyBorder="1" applyAlignment="1">
      <alignment vertical="top" wrapText="1"/>
    </xf>
    <xf numFmtId="0" fontId="100" fillId="0" borderId="72" xfId="34" applyFont="1" applyBorder="1" applyAlignment="1">
      <alignment vertical="top" wrapText="1"/>
    </xf>
    <xf numFmtId="0" fontId="100" fillId="0" borderId="72" xfId="34" applyFont="1" applyBorder="1" applyAlignment="1">
      <alignment vertical="top"/>
    </xf>
    <xf numFmtId="0" fontId="100" fillId="0" borderId="0" xfId="34" applyFont="1" applyAlignment="1">
      <alignment vertical="top"/>
    </xf>
    <xf numFmtId="0" fontId="96" fillId="0" borderId="5" xfId="34" applyFont="1" applyBorder="1" applyAlignment="1">
      <alignment vertical="top"/>
    </xf>
    <xf numFmtId="0" fontId="96" fillId="0" borderId="73" xfId="34" applyFont="1" applyBorder="1" applyAlignment="1">
      <alignment vertical="top"/>
    </xf>
    <xf numFmtId="0" fontId="96" fillId="0" borderId="73" xfId="34" applyFont="1" applyBorder="1" applyAlignment="1">
      <alignment horizontal="right" vertical="top" wrapText="1"/>
    </xf>
    <xf numFmtId="0" fontId="96" fillId="0" borderId="73" xfId="34" applyFont="1" applyBorder="1" applyAlignment="1">
      <alignment horizontal="center" vertical="top"/>
    </xf>
    <xf numFmtId="0" fontId="96" fillId="0" borderId="73" xfId="34" applyFont="1" applyBorder="1" applyAlignment="1">
      <alignment horizontal="right" vertical="top"/>
    </xf>
    <xf numFmtId="0" fontId="96" fillId="0" borderId="74" xfId="34" applyFont="1" applyBorder="1" applyAlignment="1">
      <alignment vertical="top"/>
    </xf>
    <xf numFmtId="0" fontId="96" fillId="0" borderId="74" xfId="34" applyFont="1" applyBorder="1" applyAlignment="1">
      <alignment horizontal="right" vertical="top"/>
    </xf>
    <xf numFmtId="0" fontId="96" fillId="0" borderId="1" xfId="34" applyFont="1" applyBorder="1" applyAlignment="1">
      <alignment vertical="top"/>
    </xf>
    <xf numFmtId="0" fontId="96" fillId="0" borderId="75" xfId="34" applyFont="1" applyBorder="1" applyAlignment="1">
      <alignment vertical="top" wrapText="1"/>
    </xf>
    <xf numFmtId="0" fontId="96" fillId="0" borderId="76" xfId="34" applyFont="1" applyBorder="1" applyAlignment="1">
      <alignment vertical="top" wrapText="1"/>
    </xf>
    <xf numFmtId="0" fontId="100" fillId="0" borderId="77" xfId="34" applyFont="1" applyBorder="1" applyAlignment="1">
      <alignment vertical="top"/>
    </xf>
    <xf numFmtId="0" fontId="100" fillId="0" borderId="77" xfId="34" applyFont="1" applyBorder="1" applyAlignment="1">
      <alignment vertical="top" wrapText="1"/>
    </xf>
    <xf numFmtId="0" fontId="100" fillId="0" borderId="78" xfId="34" applyFont="1" applyBorder="1" applyAlignment="1">
      <alignment vertical="top" wrapText="1"/>
    </xf>
    <xf numFmtId="0" fontId="100" fillId="0" borderId="79" xfId="34" applyFont="1" applyBorder="1" applyAlignment="1">
      <alignment vertical="top" wrapText="1"/>
    </xf>
    <xf numFmtId="0" fontId="100" fillId="0" borderId="79" xfId="34" applyFont="1" applyBorder="1" applyAlignment="1">
      <alignment vertical="top"/>
    </xf>
    <xf numFmtId="0" fontId="96" fillId="0" borderId="78" xfId="34" applyFont="1" applyBorder="1" applyAlignment="1">
      <alignment vertical="top"/>
    </xf>
    <xf numFmtId="0" fontId="96" fillId="0" borderId="80" xfId="34" applyFont="1" applyBorder="1" applyAlignment="1">
      <alignment vertical="top"/>
    </xf>
    <xf numFmtId="0" fontId="101" fillId="0" borderId="6" xfId="34" applyFont="1" applyBorder="1" applyAlignment="1">
      <alignment vertical="top"/>
    </xf>
    <xf numFmtId="0" fontId="102" fillId="0" borderId="0" xfId="34" applyFont="1" applyAlignment="1">
      <alignment horizontal="left" vertical="top"/>
    </xf>
    <xf numFmtId="0" fontId="95" fillId="0" borderId="7" xfId="34" applyFont="1" applyBorder="1" applyAlignment="1">
      <alignment horizontal="right" vertical="top"/>
    </xf>
    <xf numFmtId="0" fontId="103" fillId="0" borderId="6" xfId="34" applyFont="1" applyBorder="1" applyAlignment="1">
      <alignment vertical="top"/>
    </xf>
    <xf numFmtId="0" fontId="103" fillId="0" borderId="0" xfId="34" applyFont="1" applyAlignment="1">
      <alignment vertical="top"/>
    </xf>
    <xf numFmtId="0" fontId="104" fillId="0" borderId="6" xfId="34" applyFont="1" applyBorder="1" applyAlignment="1">
      <alignment vertical="top"/>
    </xf>
    <xf numFmtId="0" fontId="104" fillId="0" borderId="81" xfId="34" applyFont="1" applyBorder="1" applyAlignment="1">
      <alignment vertical="top"/>
    </xf>
    <xf numFmtId="0" fontId="104" fillId="0" borderId="0" xfId="34" applyFont="1" applyAlignment="1">
      <alignment vertical="top"/>
    </xf>
    <xf numFmtId="0" fontId="99" fillId="0" borderId="7" xfId="34" applyFont="1" applyBorder="1" applyAlignment="1">
      <alignment vertical="top"/>
    </xf>
    <xf numFmtId="0" fontId="106" fillId="7" borderId="15" xfId="34" applyFont="1" applyFill="1" applyBorder="1" applyAlignment="1">
      <alignment vertical="top"/>
    </xf>
    <xf numFmtId="0" fontId="106" fillId="7" borderId="15" xfId="34" applyFont="1" applyFill="1" applyBorder="1" applyAlignment="1">
      <alignment vertical="top" wrapText="1"/>
    </xf>
    <xf numFmtId="0" fontId="106" fillId="7" borderId="15" xfId="34" applyFont="1" applyFill="1" applyBorder="1" applyAlignment="1">
      <alignment horizontal="right" vertical="top"/>
    </xf>
    <xf numFmtId="0" fontId="106" fillId="7" borderId="15" xfId="34" applyFont="1" applyFill="1" applyBorder="1" applyAlignment="1">
      <alignment horizontal="center" vertical="top"/>
    </xf>
    <xf numFmtId="0" fontId="106" fillId="0" borderId="0" xfId="34" applyFont="1" applyAlignment="1">
      <alignment vertical="top"/>
    </xf>
    <xf numFmtId="0" fontId="96" fillId="0" borderId="2" xfId="34" applyFont="1" applyBorder="1" applyAlignment="1">
      <alignment vertical="top"/>
    </xf>
    <xf numFmtId="0" fontId="96" fillId="0" borderId="4" xfId="34" applyFont="1" applyBorder="1" applyAlignment="1">
      <alignment vertical="top"/>
    </xf>
    <xf numFmtId="0" fontId="96" fillId="0" borderId="74" xfId="34" applyFont="1" applyBorder="1" applyAlignment="1">
      <alignment horizontal="right" vertical="top" wrapText="1"/>
    </xf>
    <xf numFmtId="0" fontId="96" fillId="0" borderId="74" xfId="34" applyFont="1" applyBorder="1" applyAlignment="1">
      <alignment horizontal="center" vertical="top"/>
    </xf>
    <xf numFmtId="0" fontId="96" fillId="0" borderId="8" xfId="34" applyFont="1" applyBorder="1" applyAlignment="1">
      <alignment vertical="top"/>
    </xf>
    <xf numFmtId="0" fontId="96" fillId="0" borderId="10" xfId="34" applyFont="1" applyBorder="1" applyAlignment="1">
      <alignment vertical="top"/>
    </xf>
    <xf numFmtId="0" fontId="96" fillId="0" borderId="15" xfId="34" applyFont="1" applyBorder="1" applyAlignment="1">
      <alignment vertical="top"/>
    </xf>
    <xf numFmtId="4" fontId="104" fillId="0" borderId="0" xfId="34" applyNumberFormat="1" applyFont="1" applyAlignment="1">
      <alignment vertical="top"/>
    </xf>
    <xf numFmtId="4" fontId="96" fillId="0" borderId="0" xfId="34" applyNumberFormat="1" applyFont="1" applyAlignment="1">
      <alignment vertical="top"/>
    </xf>
    <xf numFmtId="0" fontId="107" fillId="0" borderId="0" xfId="34" applyFont="1" applyAlignment="1">
      <alignment horizontal="right" vertical="top"/>
    </xf>
    <xf numFmtId="0" fontId="96" fillId="0" borderId="0" xfId="34" applyFont="1" applyAlignment="1">
      <alignment horizontal="right" vertical="top" wrapText="1"/>
    </xf>
    <xf numFmtId="0" fontId="96" fillId="0" borderId="0" xfId="34" applyFont="1" applyAlignment="1"/>
    <xf numFmtId="0" fontId="96" fillId="0" borderId="11" xfId="34" applyFont="1" applyBorder="1" applyAlignment="1">
      <alignment vertical="top"/>
    </xf>
    <xf numFmtId="0" fontId="96" fillId="0" borderId="9" xfId="34" applyFont="1" applyBorder="1" applyAlignment="1">
      <alignment vertical="top"/>
    </xf>
    <xf numFmtId="0" fontId="9" fillId="0" borderId="42" xfId="5" applyFont="1" applyBorder="1" applyAlignment="1"/>
    <xf numFmtId="0" fontId="9" fillId="0" borderId="43" xfId="5" applyFont="1" applyBorder="1" applyAlignment="1"/>
    <xf numFmtId="0" fontId="57" fillId="0" borderId="0" xfId="3" applyFont="1" applyAlignment="1">
      <alignment horizontal="right" vertical="center" wrapText="1"/>
    </xf>
    <xf numFmtId="0" fontId="37" fillId="0" borderId="0" xfId="3" applyFont="1" applyFill="1" applyBorder="1" applyAlignment="1">
      <alignment horizontal="right" vertical="top" wrapText="1"/>
    </xf>
    <xf numFmtId="169" fontId="31" fillId="0" borderId="0" xfId="12" applyNumberFormat="1" applyFont="1" applyFill="1" applyBorder="1" applyAlignment="1">
      <alignment horizontal="left" vertical="top" wrapText="1"/>
    </xf>
    <xf numFmtId="0" fontId="37" fillId="0" borderId="15" xfId="3" applyFont="1" applyFill="1" applyBorder="1" applyAlignment="1">
      <alignment horizontal="right" vertical="top" wrapText="1"/>
    </xf>
    <xf numFmtId="169" fontId="31" fillId="0" borderId="15" xfId="12" applyNumberFormat="1" applyFont="1" applyFill="1" applyBorder="1" applyAlignment="1">
      <alignment horizontal="left" vertical="top" wrapText="1"/>
    </xf>
    <xf numFmtId="0" fontId="108" fillId="0" borderId="0" xfId="0" applyFont="1" applyFill="1" applyAlignment="1">
      <alignment horizontal="left"/>
    </xf>
    <xf numFmtId="0" fontId="108" fillId="0" borderId="0" xfId="0" applyFont="1" applyFill="1"/>
    <xf numFmtId="0" fontId="45" fillId="0" borderId="0" xfId="0" applyFont="1" applyAlignment="1">
      <alignment horizontal="left" vertical="center"/>
    </xf>
    <xf numFmtId="0" fontId="109" fillId="0" borderId="0" xfId="0" applyFont="1" applyAlignment="1">
      <alignment horizontal="right" vertical="top"/>
    </xf>
    <xf numFmtId="0" fontId="0" fillId="0" borderId="0" xfId="0" applyFont="1"/>
    <xf numFmtId="0" fontId="109" fillId="0" borderId="0" xfId="0" applyFont="1" applyAlignment="1">
      <alignment vertical="top"/>
    </xf>
    <xf numFmtId="175" fontId="0" fillId="0" borderId="0" xfId="0" applyNumberFormat="1" applyFont="1" applyAlignment="1" applyProtection="1">
      <alignment horizontal="right" vertical="top" wrapText="1"/>
      <protection locked="0"/>
    </xf>
    <xf numFmtId="0" fontId="61" fillId="8" borderId="0" xfId="0" applyFont="1" applyFill="1"/>
    <xf numFmtId="0" fontId="3" fillId="0" borderId="0" xfId="10" applyFont="1"/>
    <xf numFmtId="0" fontId="1" fillId="0" borderId="0" xfId="10" applyFont="1"/>
    <xf numFmtId="0" fontId="3" fillId="0" borderId="0" xfId="10" applyFont="1" applyAlignment="1">
      <alignment horizontal="center"/>
    </xf>
    <xf numFmtId="0" fontId="1" fillId="0" borderId="0" xfId="10"/>
    <xf numFmtId="0" fontId="1" fillId="0" borderId="0" xfId="10" applyFont="1" applyAlignment="1">
      <alignment horizontal="left" wrapText="1"/>
    </xf>
    <xf numFmtId="0" fontId="1" fillId="0" borderId="0" xfId="10" applyFont="1" applyBorder="1" applyAlignment="1">
      <alignment horizontal="center" wrapText="1"/>
    </xf>
    <xf numFmtId="0" fontId="0" fillId="0" borderId="0" xfId="10" applyFont="1"/>
    <xf numFmtId="0" fontId="0" fillId="0" borderId="0" xfId="10" applyFont="1" applyAlignment="1">
      <alignment horizontal="left"/>
    </xf>
    <xf numFmtId="0" fontId="1" fillId="0" borderId="0" xfId="10" applyFont="1" applyAlignment="1">
      <alignment horizontal="center"/>
    </xf>
    <xf numFmtId="0" fontId="108" fillId="0" borderId="0" xfId="0" applyFont="1" applyAlignment="1">
      <alignment horizontal="left" vertical="top" wrapText="1"/>
    </xf>
    <xf numFmtId="0" fontId="45" fillId="0" borderId="0" xfId="0" applyFont="1" applyAlignment="1">
      <alignment horizontal="left" wrapText="1"/>
    </xf>
    <xf numFmtId="0" fontId="110" fillId="0" borderId="0" xfId="0" applyFont="1" applyAlignment="1">
      <alignment vertical="top" wrapText="1"/>
    </xf>
    <xf numFmtId="0" fontId="108" fillId="0" borderId="0" xfId="0" applyFont="1"/>
    <xf numFmtId="0" fontId="111" fillId="0" borderId="0" xfId="0" applyFont="1"/>
    <xf numFmtId="0" fontId="108" fillId="0" borderId="0" xfId="0" applyFont="1" applyAlignment="1">
      <alignment horizontal="left"/>
    </xf>
    <xf numFmtId="0" fontId="112" fillId="8" borderId="0" xfId="0" applyFont="1" applyFill="1"/>
    <xf numFmtId="0" fontId="113" fillId="0" borderId="0" xfId="0" applyFont="1" applyAlignment="1">
      <alignment wrapText="1"/>
    </xf>
    <xf numFmtId="0" fontId="61" fillId="0" borderId="0" xfId="0" applyFont="1"/>
    <xf numFmtId="0" fontId="61" fillId="3" borderId="0" xfId="0" applyFont="1" applyFill="1"/>
    <xf numFmtId="0" fontId="112" fillId="3" borderId="0" xfId="0" applyFont="1" applyFill="1"/>
    <xf numFmtId="0" fontId="3" fillId="0" borderId="15" xfId="0" applyFont="1" applyBorder="1" applyAlignment="1">
      <alignment horizontal="center" wrapText="1"/>
    </xf>
    <xf numFmtId="0" fontId="116" fillId="0" borderId="15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0" fillId="0" borderId="15" xfId="0" applyFont="1" applyBorder="1" applyAlignment="1">
      <alignment vertical="top" wrapText="1"/>
    </xf>
    <xf numFmtId="2" fontId="61" fillId="0" borderId="15" xfId="0" applyNumberFormat="1" applyFont="1" applyBorder="1" applyAlignment="1">
      <alignment horizont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2" fontId="61" fillId="0" borderId="15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wrapText="1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2" fontId="0" fillId="0" borderId="15" xfId="0" applyNumberForma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2" fontId="117" fillId="0" borderId="15" xfId="0" applyNumberFormat="1" applyFont="1" applyBorder="1" applyAlignment="1">
      <alignment horizontal="center" vertical="center" wrapText="1"/>
    </xf>
    <xf numFmtId="10" fontId="0" fillId="0" borderId="15" xfId="0" applyNumberFormat="1" applyFont="1" applyBorder="1" applyAlignment="1">
      <alignment horizontal="center" vertical="center" wrapText="1"/>
    </xf>
    <xf numFmtId="9" fontId="0" fillId="0" borderId="15" xfId="0" applyNumberFormat="1" applyFont="1" applyBorder="1" applyAlignment="1">
      <alignment horizontal="center" vertical="center" wrapText="1"/>
    </xf>
    <xf numFmtId="2" fontId="116" fillId="0" borderId="15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  <xf numFmtId="0" fontId="118" fillId="0" borderId="0" xfId="0" applyFont="1" applyBorder="1" applyAlignment="1">
      <alignment horizontal="center" wrapText="1"/>
    </xf>
    <xf numFmtId="2" fontId="118" fillId="0" borderId="0" xfId="0" applyNumberFormat="1" applyFont="1" applyBorder="1" applyAlignment="1">
      <alignment horizontal="right" wrapText="1"/>
    </xf>
    <xf numFmtId="0" fontId="67" fillId="0" borderId="0" xfId="0" applyFont="1" applyAlignment="1">
      <alignment horizontal="center"/>
    </xf>
    <xf numFmtId="0" fontId="119" fillId="0" borderId="0" xfId="0" applyFont="1" applyAlignment="1">
      <alignment horizontal="left"/>
    </xf>
    <xf numFmtId="0" fontId="121" fillId="0" borderId="1" xfId="0" applyFont="1" applyBorder="1" applyAlignment="1">
      <alignment vertical="top" wrapText="1"/>
    </xf>
    <xf numFmtId="0" fontId="121" fillId="0" borderId="5" xfId="0" applyFont="1" applyBorder="1" applyAlignment="1">
      <alignment vertical="top" wrapText="1"/>
    </xf>
    <xf numFmtId="0" fontId="121" fillId="0" borderId="8" xfId="0" applyFont="1" applyBorder="1" applyAlignment="1">
      <alignment vertical="top" wrapText="1"/>
    </xf>
    <xf numFmtId="0" fontId="120" fillId="0" borderId="8" xfId="0" applyFont="1" applyBorder="1" applyAlignment="1">
      <alignment horizontal="left" vertical="top" wrapText="1"/>
    </xf>
    <xf numFmtId="0" fontId="0" fillId="0" borderId="15" xfId="0" applyFont="1" applyFill="1" applyBorder="1" applyAlignment="1">
      <alignment horizontal="center" vertical="center" wrapText="1"/>
    </xf>
    <xf numFmtId="0" fontId="123" fillId="0" borderId="0" xfId="35" applyFont="1"/>
    <xf numFmtId="0" fontId="126" fillId="0" borderId="0" xfId="0" applyFont="1" applyAlignment="1"/>
    <xf numFmtId="0" fontId="6" fillId="0" borderId="0" xfId="0" applyFont="1" applyFill="1"/>
    <xf numFmtId="0" fontId="5" fillId="0" borderId="0" xfId="0" applyFont="1" applyFill="1" applyAlignment="1">
      <alignment horizontal="left"/>
    </xf>
    <xf numFmtId="0" fontId="42" fillId="0" borderId="82" xfId="0" applyFont="1" applyFill="1" applyBorder="1" applyAlignment="1">
      <alignment horizontal="center" vertical="center" wrapText="1"/>
    </xf>
    <xf numFmtId="0" fontId="92" fillId="0" borderId="11" xfId="0" applyFont="1" applyFill="1" applyBorder="1" applyAlignment="1">
      <alignment horizontal="left" vertical="center" wrapText="1"/>
    </xf>
    <xf numFmtId="0" fontId="92" fillId="0" borderId="37" xfId="0" applyFont="1" applyFill="1" applyBorder="1" applyAlignment="1">
      <alignment horizontal="center" vertical="center" wrapText="1"/>
    </xf>
    <xf numFmtId="0" fontId="92" fillId="0" borderId="11" xfId="0" applyNumberFormat="1" applyFont="1" applyFill="1" applyBorder="1" applyAlignment="1">
      <alignment horizontal="center" vertical="center" wrapText="1"/>
    </xf>
    <xf numFmtId="0" fontId="92" fillId="0" borderId="37" xfId="0" applyNumberFormat="1" applyFont="1" applyFill="1" applyBorder="1" applyAlignment="1">
      <alignment horizontal="left" vertical="center" wrapText="1"/>
    </xf>
    <xf numFmtId="164" fontId="42" fillId="0" borderId="11" xfId="0" applyNumberFormat="1" applyFont="1" applyFill="1" applyBorder="1" applyAlignment="1">
      <alignment horizontal="center" vertical="center"/>
    </xf>
    <xf numFmtId="4" fontId="42" fillId="0" borderId="37" xfId="0" applyNumberFormat="1" applyFont="1" applyFill="1" applyBorder="1" applyAlignment="1">
      <alignment horizontal="center" vertical="center"/>
    </xf>
    <xf numFmtId="0" fontId="92" fillId="0" borderId="14" xfId="0" applyFont="1" applyFill="1" applyBorder="1" applyAlignment="1">
      <alignment horizontal="left" vertical="center" wrapText="1"/>
    </xf>
    <xf numFmtId="0" fontId="92" fillId="0" borderId="65" xfId="0" applyFont="1" applyFill="1" applyBorder="1" applyAlignment="1">
      <alignment horizontal="center" vertical="center" wrapText="1"/>
    </xf>
    <xf numFmtId="0" fontId="92" fillId="0" borderId="14" xfId="0" applyNumberFormat="1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/>
    </xf>
    <xf numFmtId="4" fontId="42" fillId="0" borderId="65" xfId="0" applyNumberFormat="1" applyFont="1" applyFill="1" applyBorder="1" applyAlignment="1">
      <alignment horizontal="center" vertical="center"/>
    </xf>
    <xf numFmtId="2" fontId="42" fillId="0" borderId="14" xfId="0" applyNumberFormat="1" applyFont="1" applyFill="1" applyBorder="1" applyAlignment="1">
      <alignment horizontal="left" vertical="center" wrapText="1"/>
    </xf>
    <xf numFmtId="2" fontId="42" fillId="0" borderId="65" xfId="0" applyNumberFormat="1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left" vertical="center" wrapText="1"/>
    </xf>
    <xf numFmtId="0" fontId="91" fillId="0" borderId="3" xfId="0" applyFont="1" applyFill="1" applyBorder="1" applyAlignment="1">
      <alignment horizontal="left" vertical="center" wrapText="1"/>
    </xf>
    <xf numFmtId="0" fontId="42" fillId="0" borderId="3" xfId="0" applyNumberFormat="1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left" vertical="center" wrapText="1"/>
    </xf>
    <xf numFmtId="0" fontId="42" fillId="0" borderId="37" xfId="0" applyFont="1" applyFill="1" applyBorder="1" applyAlignment="1">
      <alignment horizontal="center" vertical="center" wrapText="1"/>
    </xf>
    <xf numFmtId="0" fontId="42" fillId="0" borderId="11" xfId="0" applyNumberFormat="1" applyFont="1" applyFill="1" applyBorder="1" applyAlignment="1">
      <alignment horizontal="center" vertical="center" wrapText="1"/>
    </xf>
    <xf numFmtId="0" fontId="42" fillId="0" borderId="37" xfId="0" applyNumberFormat="1" applyFont="1" applyFill="1" applyBorder="1" applyAlignment="1">
      <alignment horizontal="left" vertical="center" wrapText="1"/>
    </xf>
    <xf numFmtId="0" fontId="42" fillId="0" borderId="11" xfId="0" applyFont="1" applyFill="1" applyBorder="1" applyAlignment="1">
      <alignment horizontal="center" vertical="center"/>
    </xf>
    <xf numFmtId="16" fontId="42" fillId="0" borderId="14" xfId="0" applyNumberFormat="1" applyFont="1" applyFill="1" applyBorder="1" applyAlignment="1">
      <alignment horizontal="left" vertical="center" wrapText="1"/>
    </xf>
    <xf numFmtId="2" fontId="91" fillId="0" borderId="3" xfId="0" applyNumberFormat="1" applyFont="1" applyFill="1" applyBorder="1" applyAlignment="1">
      <alignment horizontal="left" vertical="center" wrapText="1"/>
    </xf>
    <xf numFmtId="2" fontId="42" fillId="0" borderId="38" xfId="0" applyNumberFormat="1" applyFont="1" applyFill="1" applyBorder="1" applyAlignment="1">
      <alignment horizontal="center" vertical="center" wrapText="1"/>
    </xf>
    <xf numFmtId="164" fontId="42" fillId="0" borderId="3" xfId="0" applyNumberFormat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left" vertical="center" wrapText="1"/>
    </xf>
    <xf numFmtId="11" fontId="91" fillId="0" borderId="0" xfId="0" applyNumberFormat="1" applyFont="1" applyFill="1" applyBorder="1" applyAlignment="1">
      <alignment horizontal="center" vertical="center" wrapText="1"/>
    </xf>
    <xf numFmtId="164" fontId="91" fillId="0" borderId="0" xfId="0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wrapText="1"/>
    </xf>
    <xf numFmtId="2" fontId="42" fillId="0" borderId="0" xfId="0" applyNumberFormat="1" applyFont="1" applyFill="1" applyBorder="1" applyAlignment="1">
      <alignment horizontal="center" wrapText="1"/>
    </xf>
    <xf numFmtId="2" fontId="42" fillId="0" borderId="0" xfId="0" applyNumberFormat="1" applyFont="1" applyFill="1" applyBorder="1" applyAlignment="1">
      <alignment wrapText="1"/>
    </xf>
    <xf numFmtId="0" fontId="45" fillId="0" borderId="0" xfId="0" applyFont="1" applyFill="1" applyAlignment="1">
      <alignment wrapText="1"/>
    </xf>
    <xf numFmtId="2" fontId="31" fillId="0" borderId="26" xfId="3" applyNumberFormat="1" applyFont="1" applyFill="1" applyBorder="1" applyAlignment="1">
      <alignment horizontal="right" vertical="top" wrapText="1"/>
    </xf>
    <xf numFmtId="0" fontId="57" fillId="0" borderId="31" xfId="16" applyFont="1" applyBorder="1" applyAlignment="1">
      <alignment horizontal="center" vertical="center" wrapText="1"/>
    </xf>
    <xf numFmtId="0" fontId="33" fillId="0" borderId="0" xfId="35" applyFont="1"/>
    <xf numFmtId="0" fontId="128" fillId="0" borderId="0" xfId="35" applyFont="1"/>
    <xf numFmtId="0" fontId="129" fillId="0" borderId="0" xfId="35" applyFont="1"/>
    <xf numFmtId="0" fontId="125" fillId="0" borderId="0" xfId="36" applyFont="1" applyAlignment="1">
      <alignment vertical="top"/>
    </xf>
    <xf numFmtId="0" fontId="21" fillId="0" borderId="0" xfId="36" applyFont="1" applyFill="1" applyAlignment="1">
      <alignment horizontal="center"/>
    </xf>
    <xf numFmtId="0" fontId="49" fillId="0" borderId="0" xfId="36" applyFont="1" applyFill="1"/>
    <xf numFmtId="0" fontId="52" fillId="0" borderId="0" xfId="36" applyFont="1" applyFill="1" applyAlignment="1">
      <alignment horizontal="center"/>
    </xf>
    <xf numFmtId="0" fontId="52" fillId="0" borderId="0" xfId="36" applyFont="1" applyFill="1" applyAlignment="1">
      <alignment horizontal="center"/>
    </xf>
    <xf numFmtId="0" fontId="24" fillId="0" borderId="0" xfId="36" applyFont="1" applyAlignment="1">
      <alignment wrapText="1"/>
    </xf>
    <xf numFmtId="0" fontId="24" fillId="0" borderId="0" xfId="36" applyFont="1" applyBorder="1" applyAlignment="1">
      <alignment horizontal="right" vertical="top"/>
    </xf>
    <xf numFmtId="0" fontId="24" fillId="0" borderId="0" xfId="36" applyFont="1" applyAlignment="1">
      <alignment horizontal="right" vertical="top"/>
    </xf>
    <xf numFmtId="0" fontId="132" fillId="0" borderId="0" xfId="36" applyFont="1"/>
    <xf numFmtId="0" fontId="10" fillId="0" borderId="0" xfId="36" applyFont="1" applyAlignment="1">
      <alignment horizontal="center" wrapText="1"/>
    </xf>
    <xf numFmtId="0" fontId="65" fillId="0" borderId="0" xfId="36" applyFont="1" applyBorder="1" applyAlignment="1">
      <alignment horizontal="right" vertical="top"/>
    </xf>
    <xf numFmtId="0" fontId="65" fillId="0" borderId="0" xfId="36" applyFont="1" applyAlignment="1">
      <alignment horizontal="right" vertical="top"/>
    </xf>
    <xf numFmtId="0" fontId="49" fillId="0" borderId="0" xfId="36" applyFont="1"/>
    <xf numFmtId="0" fontId="21" fillId="0" borderId="0" xfId="36" applyFont="1" applyAlignment="1">
      <alignment horizontal="left"/>
    </xf>
    <xf numFmtId="0" fontId="68" fillId="0" borderId="15" xfId="36" applyFont="1" applyBorder="1" applyAlignment="1">
      <alignment vertical="center" wrapText="1"/>
    </xf>
    <xf numFmtId="0" fontId="133" fillId="0" borderId="0" xfId="36" applyFont="1"/>
    <xf numFmtId="0" fontId="9" fillId="0" borderId="15" xfId="36" applyFont="1" applyBorder="1" applyAlignment="1">
      <alignment horizontal="center" vertical="center"/>
    </xf>
    <xf numFmtId="2" fontId="9" fillId="0" borderId="15" xfId="36" applyNumberFormat="1" applyFont="1" applyFill="1" applyBorder="1" applyAlignment="1" applyProtection="1">
      <alignment horizontal="left" vertical="center" wrapText="1"/>
      <protection locked="0"/>
    </xf>
    <xf numFmtId="0" fontId="9" fillId="0" borderId="15" xfId="36" applyFont="1" applyFill="1" applyBorder="1" applyAlignment="1">
      <alignment horizontal="left" vertical="center" wrapText="1"/>
    </xf>
    <xf numFmtId="164" fontId="9" fillId="0" borderId="15" xfId="36" applyNumberFormat="1" applyFont="1" applyFill="1" applyBorder="1" applyAlignment="1">
      <alignment horizontal="center" vertical="center" wrapText="1"/>
    </xf>
    <xf numFmtId="2" fontId="9" fillId="0" borderId="15" xfId="36" applyNumberFormat="1" applyFont="1" applyFill="1" applyBorder="1" applyAlignment="1">
      <alignment horizontal="center" vertical="center" wrapText="1"/>
    </xf>
    <xf numFmtId="3" fontId="9" fillId="0" borderId="0" xfId="36" applyNumberFormat="1" applyFont="1" applyFill="1" applyBorder="1" applyAlignment="1">
      <alignment horizontal="right" vertical="center" wrapText="1"/>
    </xf>
    <xf numFmtId="0" fontId="9" fillId="0" borderId="0" xfId="36" applyFont="1"/>
    <xf numFmtId="2" fontId="135" fillId="0" borderId="15" xfId="36" applyNumberFormat="1" applyFont="1" applyFill="1" applyBorder="1" applyAlignment="1">
      <alignment horizontal="center" vertical="center" wrapText="1"/>
    </xf>
    <xf numFmtId="3" fontId="135" fillId="0" borderId="0" xfId="36" applyNumberFormat="1" applyFont="1" applyFill="1" applyBorder="1" applyAlignment="1">
      <alignment horizontal="right" vertical="center" wrapText="1"/>
    </xf>
    <xf numFmtId="0" fontId="135" fillId="0" borderId="0" xfId="36" applyFont="1"/>
    <xf numFmtId="0" fontId="9" fillId="0" borderId="84" xfId="36" applyFont="1" applyBorder="1" applyAlignment="1">
      <alignment horizontal="left" vertical="center" wrapText="1"/>
    </xf>
    <xf numFmtId="0" fontId="9" fillId="0" borderId="85" xfId="36" applyFont="1" applyFill="1" applyBorder="1" applyAlignment="1">
      <alignment horizontal="center" vertical="center" wrapText="1"/>
    </xf>
    <xf numFmtId="4" fontId="9" fillId="0" borderId="15" xfId="36" applyNumberFormat="1" applyFont="1" applyFill="1" applyBorder="1" applyAlignment="1">
      <alignment horizontal="center" vertical="center" wrapText="1"/>
    </xf>
    <xf numFmtId="4" fontId="21" fillId="0" borderId="15" xfId="36" applyNumberFormat="1" applyFont="1" applyFill="1" applyBorder="1" applyAlignment="1">
      <alignment horizontal="center" vertical="center" wrapText="1"/>
    </xf>
    <xf numFmtId="3" fontId="136" fillId="0" borderId="0" xfId="36" applyNumberFormat="1" applyFont="1" applyBorder="1"/>
    <xf numFmtId="0" fontId="136" fillId="0" borderId="0" xfId="36" applyFont="1"/>
    <xf numFmtId="4" fontId="4" fillId="0" borderId="43" xfId="36" applyNumberFormat="1" applyFont="1" applyFill="1" applyBorder="1" applyAlignment="1">
      <alignment horizontal="center" vertical="center" wrapText="1"/>
    </xf>
    <xf numFmtId="171" fontId="5" fillId="0" borderId="0" xfId="36" applyNumberFormat="1" applyFont="1" applyFill="1" applyBorder="1" applyAlignment="1">
      <alignment horizontal="right" vertical="center"/>
    </xf>
    <xf numFmtId="4" fontId="5" fillId="0" borderId="0" xfId="36" applyNumberFormat="1" applyFont="1" applyFill="1" applyAlignment="1">
      <alignment vertical="center"/>
    </xf>
    <xf numFmtId="0" fontId="5" fillId="0" borderId="0" xfId="36" applyFont="1" applyFill="1" applyAlignment="1">
      <alignment vertical="center"/>
    </xf>
    <xf numFmtId="3" fontId="49" fillId="0" borderId="0" xfId="36" applyNumberFormat="1" applyFont="1" applyBorder="1"/>
    <xf numFmtId="2" fontId="49" fillId="0" borderId="0" xfId="36" applyNumberFormat="1" applyFont="1" applyBorder="1" applyAlignment="1">
      <alignment vertical="justify"/>
    </xf>
    <xf numFmtId="0" fontId="49" fillId="0" borderId="0" xfId="36" applyFont="1" applyAlignment="1">
      <alignment vertical="justify"/>
    </xf>
    <xf numFmtId="0" fontId="137" fillId="0" borderId="0" xfId="35" applyFont="1" applyAlignment="1"/>
    <xf numFmtId="0" fontId="124" fillId="0" borderId="0" xfId="35" applyFont="1"/>
    <xf numFmtId="0" fontId="136" fillId="0" borderId="0" xfId="36" applyFont="1" applyAlignment="1">
      <alignment horizontal="center"/>
    </xf>
    <xf numFmtId="0" fontId="138" fillId="0" borderId="0" xfId="36" applyFont="1"/>
    <xf numFmtId="0" fontId="136" fillId="0" borderId="0" xfId="36" applyFont="1" applyAlignment="1">
      <alignment horizontal="left"/>
    </xf>
    <xf numFmtId="0" fontId="136" fillId="0" borderId="0" xfId="36" applyFont="1" applyAlignment="1"/>
    <xf numFmtId="0" fontId="136" fillId="0" borderId="0" xfId="36" applyFont="1" applyAlignment="1">
      <alignment horizontal="center"/>
    </xf>
    <xf numFmtId="0" fontId="136" fillId="0" borderId="0" xfId="36" applyFont="1" applyAlignment="1">
      <alignment horizontal="left"/>
    </xf>
    <xf numFmtId="0" fontId="136" fillId="0" borderId="0" xfId="36" applyFont="1" applyAlignment="1">
      <alignment horizontal="center"/>
    </xf>
    <xf numFmtId="0" fontId="135" fillId="0" borderId="13" xfId="36" applyFont="1" applyBorder="1" applyAlignment="1">
      <alignment horizontal="right" vertical="center" wrapText="1"/>
    </xf>
    <xf numFmtId="0" fontId="135" fillId="0" borderId="14" xfId="36" applyFont="1" applyBorder="1" applyAlignment="1">
      <alignment horizontal="right" vertical="center" wrapText="1"/>
    </xf>
    <xf numFmtId="0" fontId="33" fillId="0" borderId="0" xfId="36" applyFont="1" applyFill="1" applyBorder="1" applyAlignment="1">
      <alignment horizontal="center" wrapText="1"/>
    </xf>
    <xf numFmtId="0" fontId="51" fillId="0" borderId="0" xfId="36" applyFont="1" applyAlignment="1">
      <alignment horizontal="center" vertical="top"/>
    </xf>
    <xf numFmtId="0" fontId="4" fillId="0" borderId="88" xfId="36" applyFont="1" applyFill="1" applyBorder="1" applyAlignment="1">
      <alignment horizontal="right" vertical="center" wrapText="1"/>
    </xf>
    <xf numFmtId="0" fontId="4" fillId="0" borderId="14" xfId="36" applyFont="1" applyFill="1" applyBorder="1" applyAlignment="1">
      <alignment horizontal="right" vertical="center" wrapText="1"/>
    </xf>
    <xf numFmtId="0" fontId="4" fillId="0" borderId="89" xfId="36" applyFont="1" applyFill="1" applyBorder="1" applyAlignment="1">
      <alignment horizontal="right" vertical="center" wrapText="1"/>
    </xf>
    <xf numFmtId="0" fontId="52" fillId="0" borderId="0" xfId="36" applyFont="1" applyFill="1" applyAlignment="1">
      <alignment horizontal="center"/>
    </xf>
    <xf numFmtId="0" fontId="21" fillId="0" borderId="0" xfId="36" applyFont="1" applyAlignment="1">
      <alignment horizontal="center" vertical="center" wrapText="1"/>
    </xf>
    <xf numFmtId="0" fontId="10" fillId="0" borderId="0" xfId="36" applyFont="1" applyAlignment="1">
      <alignment horizontal="right" wrapText="1"/>
    </xf>
    <xf numFmtId="0" fontId="68" fillId="0" borderId="15" xfId="36" applyFont="1" applyBorder="1" applyAlignment="1">
      <alignment horizontal="center" vertical="center" wrapText="1"/>
    </xf>
    <xf numFmtId="0" fontId="133" fillId="0" borderId="15" xfId="36" applyFont="1" applyBorder="1" applyAlignment="1">
      <alignment horizontal="center" vertical="center" wrapText="1"/>
    </xf>
    <xf numFmtId="0" fontId="134" fillId="0" borderId="13" xfId="36" applyFont="1" applyBorder="1" applyAlignment="1">
      <alignment horizontal="center" vertical="center" wrapText="1"/>
    </xf>
    <xf numFmtId="0" fontId="134" fillId="0" borderId="14" xfId="36" applyFont="1" applyBorder="1" applyAlignment="1">
      <alignment horizontal="center" vertical="center" wrapText="1"/>
    </xf>
    <xf numFmtId="0" fontId="134" fillId="0" borderId="12" xfId="36" applyFont="1" applyBorder="1" applyAlignment="1">
      <alignment horizontal="center" vertical="center" wrapText="1"/>
    </xf>
    <xf numFmtId="0" fontId="135" fillId="0" borderId="13" xfId="36" applyFont="1" applyBorder="1" applyAlignment="1">
      <alignment horizontal="right" vertical="center"/>
    </xf>
    <xf numFmtId="0" fontId="135" fillId="0" borderId="14" xfId="36" applyFont="1" applyBorder="1" applyAlignment="1">
      <alignment horizontal="right" vertical="center"/>
    </xf>
    <xf numFmtId="0" fontId="135" fillId="0" borderId="12" xfId="36" applyFont="1" applyBorder="1" applyAlignment="1">
      <alignment horizontal="right" vertical="center"/>
    </xf>
    <xf numFmtId="0" fontId="9" fillId="0" borderId="83" xfId="36" applyFont="1" applyFill="1" applyBorder="1" applyAlignment="1">
      <alignment horizontal="center" vertical="center" wrapText="1"/>
    </xf>
    <xf numFmtId="0" fontId="9" fillId="0" borderId="86" xfId="36" applyFont="1" applyFill="1" applyBorder="1" applyAlignment="1">
      <alignment horizontal="center" vertical="center" wrapText="1"/>
    </xf>
    <xf numFmtId="0" fontId="9" fillId="0" borderId="87" xfId="36" applyFont="1" applyFill="1" applyBorder="1" applyAlignment="1">
      <alignment horizontal="center" vertical="center" wrapText="1"/>
    </xf>
    <xf numFmtId="0" fontId="135" fillId="0" borderId="12" xfId="36" applyFont="1" applyBorder="1" applyAlignment="1">
      <alignment horizontal="right" vertical="center" wrapText="1"/>
    </xf>
    <xf numFmtId="0" fontId="131" fillId="0" borderId="0" xfId="36" applyFont="1" applyFill="1" applyAlignment="1">
      <alignment horizontal="center"/>
    </xf>
    <xf numFmtId="0" fontId="75" fillId="0" borderId="0" xfId="36" applyFont="1" applyAlignment="1">
      <alignment horizontal="left" vertical="top"/>
    </xf>
    <xf numFmtId="0" fontId="124" fillId="0" borderId="0" xfId="35" applyFont="1" applyAlignment="1">
      <alignment horizontal="left" vertical="top"/>
    </xf>
    <xf numFmtId="0" fontId="125" fillId="0" borderId="0" xfId="36" applyFont="1" applyAlignment="1">
      <alignment horizontal="left"/>
    </xf>
    <xf numFmtId="0" fontId="123" fillId="0" borderId="0" xfId="35" applyFont="1" applyAlignment="1">
      <alignment horizontal="left"/>
    </xf>
    <xf numFmtId="0" fontId="75" fillId="0" borderId="0" xfId="36" applyFont="1" applyAlignment="1">
      <alignment horizontal="left"/>
    </xf>
    <xf numFmtId="0" fontId="124" fillId="0" borderId="0" xfId="35" applyFont="1" applyAlignment="1">
      <alignment horizontal="left"/>
    </xf>
    <xf numFmtId="0" fontId="56" fillId="0" borderId="0" xfId="36" applyFont="1" applyFill="1" applyAlignment="1">
      <alignment horizontal="center"/>
    </xf>
    <xf numFmtId="0" fontId="130" fillId="0" borderId="0" xfId="36" applyFont="1" applyAlignment="1">
      <alignment horizontal="center"/>
    </xf>
    <xf numFmtId="0" fontId="43" fillId="0" borderId="0" xfId="3" applyFont="1" applyAlignment="1">
      <alignment horizontal="left" vertical="center" wrapText="1"/>
    </xf>
    <xf numFmtId="0" fontId="46" fillId="0" borderId="0" xfId="3" applyFont="1" applyAlignment="1">
      <alignment horizontal="left" vertical="center" wrapText="1"/>
    </xf>
    <xf numFmtId="0" fontId="37" fillId="0" borderId="25" xfId="3" applyFont="1" applyFill="1" applyBorder="1" applyAlignment="1">
      <alignment horizontal="right" vertical="top" wrapText="1"/>
    </xf>
    <xf numFmtId="0" fontId="37" fillId="0" borderId="8" xfId="3" applyFont="1" applyFill="1" applyBorder="1" applyAlignment="1">
      <alignment horizontal="right" vertical="top" wrapText="1"/>
    </xf>
    <xf numFmtId="0" fontId="39" fillId="0" borderId="0" xfId="3" applyFont="1" applyAlignment="1">
      <alignment horizontal="center" vertical="center" wrapText="1"/>
    </xf>
    <xf numFmtId="0" fontId="40" fillId="0" borderId="0" xfId="3" applyFont="1" applyAlignment="1">
      <alignment horizontal="left" vertical="center" wrapText="1"/>
    </xf>
    <xf numFmtId="0" fontId="5" fillId="0" borderId="0" xfId="3" applyFont="1" applyAlignment="1">
      <alignment vertical="center" wrapText="1"/>
    </xf>
    <xf numFmtId="0" fontId="40" fillId="0" borderId="0" xfId="3" applyFont="1" applyAlignment="1">
      <alignment vertical="center" wrapText="1"/>
    </xf>
    <xf numFmtId="0" fontId="37" fillId="0" borderId="13" xfId="3" applyFont="1" applyFill="1" applyBorder="1" applyAlignment="1">
      <alignment horizontal="left" vertical="top" wrapText="1"/>
    </xf>
    <xf numFmtId="0" fontId="37" fillId="0" borderId="12" xfId="3" applyFont="1" applyFill="1" applyBorder="1" applyAlignment="1">
      <alignment horizontal="left" vertical="top" wrapText="1"/>
    </xf>
    <xf numFmtId="0" fontId="37" fillId="0" borderId="13" xfId="3" applyFont="1" applyFill="1" applyBorder="1" applyAlignment="1">
      <alignment horizontal="right" vertical="top" wrapText="1"/>
    </xf>
    <xf numFmtId="0" fontId="37" fillId="0" borderId="14" xfId="3" applyFont="1" applyFill="1" applyBorder="1" applyAlignment="1">
      <alignment horizontal="right" vertical="top" wrapText="1"/>
    </xf>
    <xf numFmtId="0" fontId="37" fillId="0" borderId="12" xfId="3" applyFont="1" applyFill="1" applyBorder="1" applyAlignment="1">
      <alignment horizontal="right" vertical="top" wrapText="1"/>
    </xf>
    <xf numFmtId="0" fontId="9" fillId="0" borderId="10" xfId="3" applyFont="1" applyFill="1" applyBorder="1" applyAlignment="1">
      <alignment horizontal="left" vertical="center" wrapText="1"/>
    </xf>
    <xf numFmtId="0" fontId="9" fillId="0" borderId="9" xfId="3" applyFont="1" applyFill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17" fillId="0" borderId="0" xfId="3" applyFont="1" applyAlignment="1">
      <alignment horizontal="center"/>
    </xf>
    <xf numFmtId="0" fontId="4" fillId="0" borderId="0" xfId="3" applyFont="1" applyAlignment="1">
      <alignment horizontal="center" vertical="center" wrapText="1"/>
    </xf>
    <xf numFmtId="0" fontId="19" fillId="0" borderId="18" xfId="3" applyFont="1" applyBorder="1" applyAlignment="1">
      <alignment horizontal="center" vertical="center" wrapText="1"/>
    </xf>
    <xf numFmtId="0" fontId="19" fillId="0" borderId="19" xfId="3" applyFont="1" applyBorder="1" applyAlignment="1">
      <alignment horizontal="center" vertical="center" wrapText="1"/>
    </xf>
    <xf numFmtId="0" fontId="23" fillId="0" borderId="17" xfId="3" applyFont="1" applyFill="1" applyBorder="1" applyAlignment="1">
      <alignment horizontal="center" vertical="top" wrapText="1"/>
    </xf>
    <xf numFmtId="0" fontId="26" fillId="0" borderId="5" xfId="3" applyFont="1" applyFill="1" applyBorder="1" applyAlignment="1">
      <alignment horizontal="center" vertical="center" wrapText="1"/>
    </xf>
    <xf numFmtId="0" fontId="26" fillId="0" borderId="8" xfId="3" applyFont="1" applyFill="1" applyBorder="1" applyAlignment="1">
      <alignment horizontal="center" vertical="center" wrapText="1"/>
    </xf>
    <xf numFmtId="0" fontId="27" fillId="0" borderId="5" xfId="3" applyFont="1" applyFill="1" applyBorder="1" applyAlignment="1">
      <alignment horizontal="center" vertical="center" wrapText="1"/>
    </xf>
    <xf numFmtId="0" fontId="27" fillId="0" borderId="8" xfId="3" applyFont="1" applyFill="1" applyBorder="1" applyAlignment="1">
      <alignment horizontal="center" vertical="center" wrapText="1"/>
    </xf>
    <xf numFmtId="0" fontId="31" fillId="0" borderId="14" xfId="3" applyFont="1" applyFill="1" applyBorder="1" applyAlignment="1">
      <alignment horizontal="right" vertical="center" wrapText="1"/>
    </xf>
    <xf numFmtId="0" fontId="31" fillId="0" borderId="12" xfId="3" applyFont="1" applyFill="1" applyBorder="1" applyAlignment="1">
      <alignment horizontal="right" vertical="center" wrapText="1"/>
    </xf>
    <xf numFmtId="0" fontId="31" fillId="0" borderId="13" xfId="3" applyFont="1" applyFill="1" applyBorder="1" applyAlignment="1">
      <alignment horizontal="center" vertical="top" wrapText="1"/>
    </xf>
    <xf numFmtId="0" fontId="31" fillId="0" borderId="12" xfId="3" applyFont="1" applyFill="1" applyBorder="1" applyAlignment="1">
      <alignment horizontal="center" vertical="top" wrapText="1"/>
    </xf>
    <xf numFmtId="0" fontId="33" fillId="0" borderId="22" xfId="3" applyFont="1" applyFill="1" applyBorder="1" applyAlignment="1">
      <alignment horizontal="right" vertical="top"/>
    </xf>
    <xf numFmtId="0" fontId="33" fillId="0" borderId="23" xfId="3" applyFont="1" applyFill="1" applyBorder="1" applyAlignment="1">
      <alignment horizontal="right" vertical="top"/>
    </xf>
    <xf numFmtId="0" fontId="91" fillId="0" borderId="48" xfId="0" applyFont="1" applyFill="1" applyBorder="1" applyAlignment="1">
      <alignment horizontal="center" vertical="center" wrapText="1"/>
    </xf>
    <xf numFmtId="0" fontId="91" fillId="0" borderId="49" xfId="0" applyFont="1" applyFill="1" applyBorder="1" applyAlignment="1">
      <alignment horizontal="center" vertical="center" wrapText="1"/>
    </xf>
    <xf numFmtId="0" fontId="91" fillId="0" borderId="64" xfId="0" applyFont="1" applyFill="1" applyBorder="1" applyAlignment="1">
      <alignment horizontal="center" vertical="center" wrapText="1"/>
    </xf>
    <xf numFmtId="0" fontId="42" fillId="3" borderId="0" xfId="0" applyFont="1" applyFill="1" applyBorder="1" applyAlignment="1">
      <alignment horizontal="left" vertical="center" wrapText="1"/>
    </xf>
    <xf numFmtId="0" fontId="42" fillId="0" borderId="0" xfId="0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2" fontId="91" fillId="0" borderId="48" xfId="0" applyNumberFormat="1" applyFont="1" applyFill="1" applyBorder="1" applyAlignment="1">
      <alignment horizontal="center" vertical="center" wrapText="1"/>
    </xf>
    <xf numFmtId="2" fontId="91" fillId="0" borderId="49" xfId="0" applyNumberFormat="1" applyFont="1" applyFill="1" applyBorder="1" applyAlignment="1">
      <alignment horizontal="center" vertical="center" wrapText="1"/>
    </xf>
    <xf numFmtId="2" fontId="91" fillId="0" borderId="64" xfId="0" applyNumberFormat="1" applyFont="1" applyFill="1" applyBorder="1" applyAlignment="1">
      <alignment horizontal="center" vertical="center" wrapText="1"/>
    </xf>
    <xf numFmtId="0" fontId="126" fillId="0" borderId="0" xfId="0" applyFont="1" applyAlignment="1">
      <alignment horizontal="center"/>
    </xf>
    <xf numFmtId="0" fontId="42" fillId="0" borderId="0" xfId="0" applyFont="1" applyAlignment="1">
      <alignment horizontal="left" indent="15"/>
    </xf>
    <xf numFmtId="0" fontId="42" fillId="0" borderId="46" xfId="0" applyFont="1" applyFill="1" applyBorder="1" applyAlignment="1">
      <alignment horizontal="center"/>
    </xf>
    <xf numFmtId="49" fontId="3" fillId="0" borderId="0" xfId="0" applyNumberFormat="1" applyFont="1" applyAlignment="1" applyProtection="1">
      <alignment horizontal="center" vertical="top" wrapText="1"/>
      <protection locked="0"/>
    </xf>
    <xf numFmtId="175" fontId="3" fillId="0" borderId="0" xfId="0" applyNumberFormat="1" applyFont="1" applyAlignment="1" applyProtection="1">
      <alignment horizontal="left" vertical="top" wrapText="1"/>
      <protection locked="0"/>
    </xf>
    <xf numFmtId="175" fontId="3" fillId="0" borderId="0" xfId="0" applyNumberFormat="1" applyFont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horizontal="center" vertical="top" wrapText="1"/>
      <protection locked="0"/>
    </xf>
    <xf numFmtId="0" fontId="42" fillId="0" borderId="0" xfId="0" applyFont="1" applyAlignment="1">
      <alignment horizontal="left"/>
    </xf>
    <xf numFmtId="0" fontId="89" fillId="0" borderId="0" xfId="0" applyFont="1" applyAlignment="1">
      <alignment horizontal="left" indent="15"/>
    </xf>
    <xf numFmtId="0" fontId="42" fillId="0" borderId="0" xfId="0" applyFont="1" applyAlignment="1">
      <alignment horizontal="left" wrapText="1"/>
    </xf>
    <xf numFmtId="0" fontId="89" fillId="0" borderId="0" xfId="0" applyFont="1" applyAlignment="1">
      <alignment horizontal="left" wrapText="1" indent="15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0" xfId="10" applyFont="1" applyAlignment="1">
      <alignment horizontal="right" vertical="top" wrapText="1"/>
    </xf>
    <xf numFmtId="0" fontId="1" fillId="0" borderId="0" xfId="10" applyFont="1" applyBorder="1" applyAlignment="1">
      <alignment horizontal="right" wrapText="1"/>
    </xf>
    <xf numFmtId="0" fontId="113" fillId="0" borderId="0" xfId="0" applyFont="1" applyAlignment="1">
      <alignment horizontal="center" vertical="center" wrapText="1"/>
    </xf>
    <xf numFmtId="0" fontId="114" fillId="0" borderId="0" xfId="0" applyFont="1" applyAlignment="1">
      <alignment horizontal="center" vertical="center" wrapText="1"/>
    </xf>
    <xf numFmtId="0" fontId="115" fillId="0" borderId="0" xfId="0" applyFont="1" applyAlignment="1">
      <alignment horizontal="center" vertical="center" wrapText="1"/>
    </xf>
    <xf numFmtId="0" fontId="57" fillId="0" borderId="0" xfId="3" applyFont="1" applyAlignment="1">
      <alignment horizontal="left" vertical="center" wrapText="1"/>
    </xf>
    <xf numFmtId="0" fontId="57" fillId="0" borderId="70" xfId="3" applyFont="1" applyBorder="1" applyAlignment="1">
      <alignment horizontal="left" vertical="center" wrapText="1"/>
    </xf>
    <xf numFmtId="0" fontId="9" fillId="0" borderId="42" xfId="8" applyFont="1" applyFill="1" applyBorder="1" applyAlignment="1">
      <alignment horizontal="left" vertical="top" wrapText="1"/>
    </xf>
    <xf numFmtId="0" fontId="9" fillId="0" borderId="0" xfId="8" applyFont="1" applyFill="1" applyBorder="1" applyAlignment="1">
      <alignment horizontal="left" vertical="top" wrapText="1"/>
    </xf>
    <xf numFmtId="0" fontId="57" fillId="0" borderId="38" xfId="3" applyFont="1" applyBorder="1" applyAlignment="1">
      <alignment horizontal="center" vertical="center" wrapText="1"/>
    </xf>
    <xf numFmtId="0" fontId="57" fillId="0" borderId="41" xfId="3" applyFont="1" applyBorder="1" applyAlignment="1">
      <alignment horizontal="center" vertical="center" wrapText="1"/>
    </xf>
    <xf numFmtId="0" fontId="57" fillId="0" borderId="44" xfId="3" applyFont="1" applyBorder="1" applyAlignment="1">
      <alignment horizontal="center" vertical="center" wrapText="1"/>
    </xf>
    <xf numFmtId="0" fontId="57" fillId="0" borderId="39" xfId="3" applyFont="1" applyBorder="1" applyAlignment="1">
      <alignment horizontal="center" vertical="center" wrapText="1"/>
    </xf>
    <xf numFmtId="0" fontId="57" fillId="0" borderId="3" xfId="3" applyFont="1" applyBorder="1" applyAlignment="1">
      <alignment horizontal="center" vertical="center" wrapText="1"/>
    </xf>
    <xf numFmtId="0" fontId="57" fillId="0" borderId="40" xfId="3" applyFont="1" applyBorder="1" applyAlignment="1">
      <alignment horizontal="center" vertical="center" wrapText="1"/>
    </xf>
    <xf numFmtId="0" fontId="57" fillId="0" borderId="42" xfId="3" applyFont="1" applyBorder="1" applyAlignment="1">
      <alignment horizontal="center" vertical="center" wrapText="1"/>
    </xf>
    <xf numFmtId="0" fontId="57" fillId="0" borderId="0" xfId="3" applyFont="1" applyBorder="1" applyAlignment="1">
      <alignment horizontal="center" vertical="center" wrapText="1"/>
    </xf>
    <xf numFmtId="0" fontId="57" fillId="0" borderId="43" xfId="3" applyFont="1" applyBorder="1" applyAlignment="1">
      <alignment horizontal="center" vertical="center" wrapText="1"/>
    </xf>
    <xf numFmtId="0" fontId="57" fillId="0" borderId="45" xfId="3" applyFont="1" applyBorder="1" applyAlignment="1">
      <alignment horizontal="center" vertical="center" wrapText="1"/>
    </xf>
    <xf numFmtId="0" fontId="57" fillId="0" borderId="46" xfId="3" applyFont="1" applyBorder="1" applyAlignment="1">
      <alignment horizontal="center" vertical="center" wrapText="1"/>
    </xf>
    <xf numFmtId="0" fontId="57" fillId="0" borderId="47" xfId="3" applyFont="1" applyBorder="1" applyAlignment="1">
      <alignment horizontal="center" vertical="center" wrapText="1"/>
    </xf>
    <xf numFmtId="0" fontId="57" fillId="0" borderId="39" xfId="3" applyFont="1" applyBorder="1" applyAlignment="1">
      <alignment horizontal="left" wrapText="1"/>
    </xf>
    <xf numFmtId="0" fontId="57" fillId="0" borderId="40" xfId="3" applyFont="1" applyBorder="1" applyAlignment="1">
      <alignment horizontal="left" wrapText="1"/>
    </xf>
    <xf numFmtId="0" fontId="57" fillId="0" borderId="42" xfId="3" applyFont="1" applyBorder="1" applyAlignment="1">
      <alignment horizontal="left" wrapText="1"/>
    </xf>
    <xf numFmtId="0" fontId="57" fillId="0" borderId="43" xfId="3" applyFont="1" applyBorder="1" applyAlignment="1">
      <alignment horizontal="left" wrapText="1"/>
    </xf>
    <xf numFmtId="0" fontId="9" fillId="0" borderId="42" xfId="5" applyFont="1" applyBorder="1" applyAlignment="1">
      <alignment horizontal="left"/>
    </xf>
    <xf numFmtId="0" fontId="9" fillId="0" borderId="43" xfId="5" applyFont="1" applyBorder="1" applyAlignment="1">
      <alignment horizontal="left"/>
    </xf>
    <xf numFmtId="0" fontId="58" fillId="3" borderId="42" xfId="3" applyFont="1" applyFill="1" applyBorder="1" applyAlignment="1">
      <alignment horizontal="center" vertical="center" wrapText="1"/>
    </xf>
    <xf numFmtId="0" fontId="58" fillId="3" borderId="0" xfId="3" applyFont="1" applyFill="1" applyBorder="1" applyAlignment="1">
      <alignment horizontal="center" vertical="center" wrapText="1"/>
    </xf>
    <xf numFmtId="0" fontId="9" fillId="0" borderId="45" xfId="8" applyFont="1" applyFill="1" applyBorder="1" applyAlignment="1">
      <alignment horizontal="left" vertical="top" wrapText="1"/>
    </xf>
    <xf numFmtId="0" fontId="9" fillId="0" borderId="47" xfId="8" applyFont="1" applyFill="1" applyBorder="1" applyAlignment="1">
      <alignment horizontal="left" vertical="top" wrapText="1"/>
    </xf>
    <xf numFmtId="0" fontId="58" fillId="0" borderId="45" xfId="3" applyFont="1" applyFill="1" applyBorder="1" applyAlignment="1">
      <alignment horizontal="center" vertical="center" wrapText="1"/>
    </xf>
    <xf numFmtId="0" fontId="58" fillId="0" borderId="47" xfId="3" applyFont="1" applyFill="1" applyBorder="1" applyAlignment="1">
      <alignment horizontal="center" vertical="center" wrapText="1"/>
    </xf>
    <xf numFmtId="0" fontId="3" fillId="0" borderId="0" xfId="14" applyFont="1" applyAlignment="1">
      <alignment horizontal="center" vertical="center" wrapText="1"/>
    </xf>
    <xf numFmtId="0" fontId="57" fillId="0" borderId="29" xfId="16" applyFont="1" applyBorder="1" applyAlignment="1">
      <alignment horizontal="center" vertical="center" wrapText="1"/>
    </xf>
    <xf numFmtId="0" fontId="57" fillId="0" borderId="30" xfId="16" applyFont="1" applyBorder="1" applyAlignment="1">
      <alignment horizontal="center" vertical="center" wrapText="1"/>
    </xf>
    <xf numFmtId="0" fontId="57" fillId="0" borderId="31" xfId="16" applyFont="1" applyBorder="1" applyAlignment="1">
      <alignment horizontal="center" vertical="center" wrapText="1"/>
    </xf>
    <xf numFmtId="0" fontId="57" fillId="0" borderId="30" xfId="3" applyFont="1" applyBorder="1" applyAlignment="1">
      <alignment horizontal="center" wrapText="1"/>
    </xf>
    <xf numFmtId="0" fontId="57" fillId="0" borderId="33" xfId="3" applyFont="1" applyBorder="1" applyAlignment="1">
      <alignment horizontal="center" wrapText="1"/>
    </xf>
    <xf numFmtId="0" fontId="57" fillId="0" borderId="34" xfId="3" applyFont="1" applyBorder="1" applyAlignment="1">
      <alignment horizontal="center" wrapText="1"/>
    </xf>
    <xf numFmtId="0" fontId="57" fillId="0" borderId="35" xfId="3" applyFont="1" applyBorder="1" applyAlignment="1">
      <alignment horizontal="center" wrapText="1"/>
    </xf>
    <xf numFmtId="0" fontId="57" fillId="0" borderId="36" xfId="3" applyFont="1" applyBorder="1" applyAlignment="1">
      <alignment horizontal="center" wrapText="1"/>
    </xf>
    <xf numFmtId="0" fontId="96" fillId="0" borderId="0" xfId="34" applyFont="1" applyAlignment="1">
      <alignment vertical="top" wrapText="1"/>
    </xf>
    <xf numFmtId="0" fontId="95" fillId="0" borderId="0" xfId="34" applyFont="1" applyAlignment="1">
      <alignment vertical="top" wrapText="1"/>
    </xf>
    <xf numFmtId="0" fontId="95" fillId="0" borderId="0" xfId="34" applyFont="1" applyAlignment="1">
      <alignment wrapText="1"/>
    </xf>
    <xf numFmtId="0" fontId="98" fillId="0" borderId="69" xfId="34" applyFont="1" applyBorder="1" applyAlignment="1">
      <alignment horizontal="right" vertical="top"/>
    </xf>
    <xf numFmtId="0" fontId="98" fillId="0" borderId="70" xfId="34" applyFont="1" applyBorder="1" applyAlignment="1">
      <alignment horizontal="right" vertical="top"/>
    </xf>
    <xf numFmtId="4" fontId="104" fillId="0" borderId="0" xfId="34" applyNumberFormat="1" applyFont="1" applyBorder="1" applyAlignment="1">
      <alignment horizontal="left" vertical="top"/>
    </xf>
    <xf numFmtId="0" fontId="105" fillId="0" borderId="7" xfId="34" applyFont="1" applyBorder="1" applyAlignment="1">
      <alignment vertical="top"/>
    </xf>
    <xf numFmtId="0" fontId="97" fillId="0" borderId="0" xfId="34" applyFont="1" applyAlignment="1">
      <alignment horizontal="center" vertical="top"/>
    </xf>
    <xf numFmtId="0" fontId="97" fillId="0" borderId="0" xfId="34" applyFont="1" applyAlignment="1">
      <alignment horizontal="center" vertical="top" wrapText="1"/>
    </xf>
    <xf numFmtId="0" fontId="96" fillId="0" borderId="63" xfId="34" applyFont="1" applyBorder="1" applyAlignment="1">
      <alignment horizontal="center" vertical="center" wrapText="1"/>
    </xf>
    <xf numFmtId="0" fontId="98" fillId="0" borderId="6" xfId="34" applyFont="1" applyBorder="1" applyAlignment="1">
      <alignment horizontal="right" vertical="top"/>
    </xf>
    <xf numFmtId="0" fontId="98" fillId="0" borderId="0" xfId="34" applyFont="1" applyAlignment="1">
      <alignment horizontal="right" vertical="top"/>
    </xf>
    <xf numFmtId="0" fontId="107" fillId="0" borderId="6" xfId="34" applyFont="1" applyBorder="1" applyAlignment="1">
      <alignment vertical="top"/>
    </xf>
    <xf numFmtId="0" fontId="96" fillId="0" borderId="0" xfId="34" applyFont="1" applyAlignment="1">
      <alignment horizontal="right" vertical="top"/>
    </xf>
    <xf numFmtId="49" fontId="5" fillId="3" borderId="0" xfId="3" applyNumberFormat="1" applyFont="1" applyFill="1" applyAlignment="1" applyProtection="1">
      <alignment horizontal="right" vertical="top"/>
      <protection locked="0"/>
    </xf>
    <xf numFmtId="0" fontId="4" fillId="3" borderId="0" xfId="3" applyFont="1" applyFill="1" applyAlignment="1">
      <alignment horizontal="right" vertical="top"/>
    </xf>
    <xf numFmtId="0" fontId="4" fillId="3" borderId="0" xfId="3" applyFont="1" applyFill="1" applyAlignment="1">
      <alignment horizontal="left" vertical="top"/>
    </xf>
    <xf numFmtId="0" fontId="7" fillId="3" borderId="0" xfId="20" applyFont="1" applyFill="1" applyAlignment="1">
      <alignment vertical="top" wrapText="1"/>
    </xf>
    <xf numFmtId="0" fontId="5" fillId="3" borderId="0" xfId="3" applyFont="1" applyFill="1" applyAlignment="1">
      <alignment vertical="top" wrapText="1"/>
    </xf>
    <xf numFmtId="49" fontId="85" fillId="3" borderId="0" xfId="32" applyNumberFormat="1" applyFont="1" applyFill="1" applyAlignment="1" applyProtection="1">
      <alignment horizontal="right" vertical="top"/>
      <protection locked="0"/>
    </xf>
    <xf numFmtId="175" fontId="5" fillId="3" borderId="3" xfId="3" applyNumberFormat="1" applyFont="1" applyFill="1" applyBorder="1" applyAlignment="1" applyProtection="1">
      <alignment horizontal="center" vertical="top" wrapText="1"/>
      <protection locked="0"/>
    </xf>
    <xf numFmtId="49" fontId="74" fillId="3" borderId="0" xfId="3" applyNumberFormat="1" applyFont="1" applyFill="1" applyAlignment="1" applyProtection="1">
      <alignment horizontal="center" vertical="top"/>
      <protection locked="0"/>
    </xf>
    <xf numFmtId="0" fontId="37" fillId="0" borderId="0" xfId="0" applyFont="1" applyFill="1" applyAlignment="1">
      <alignment horizontal="center" vertical="top" wrapText="1"/>
    </xf>
    <xf numFmtId="49" fontId="5" fillId="3" borderId="46" xfId="3" applyNumberFormat="1" applyFont="1" applyFill="1" applyBorder="1" applyAlignment="1" applyProtection="1">
      <alignment horizontal="left"/>
      <protection locked="0"/>
    </xf>
    <xf numFmtId="49" fontId="78" fillId="3" borderId="52" xfId="31" applyNumberFormat="1" applyFont="1" applyFill="1" applyBorder="1" applyAlignment="1" applyProtection="1">
      <alignment horizontal="center" vertical="center" wrapText="1"/>
      <protection locked="0"/>
    </xf>
    <xf numFmtId="49" fontId="78" fillId="3" borderId="55" xfId="31" applyNumberFormat="1" applyFont="1" applyFill="1" applyBorder="1" applyAlignment="1" applyProtection="1">
      <alignment horizontal="center" vertical="center" wrapText="1"/>
      <protection locked="0"/>
    </xf>
    <xf numFmtId="49" fontId="78" fillId="3" borderId="53" xfId="31" applyNumberFormat="1" applyFont="1" applyFill="1" applyBorder="1" applyAlignment="1" applyProtection="1">
      <alignment horizontal="center" vertical="center" wrapText="1"/>
      <protection locked="0"/>
    </xf>
    <xf numFmtId="49" fontId="78" fillId="3" borderId="51" xfId="31" applyNumberFormat="1" applyFont="1" applyFill="1" applyBorder="1" applyAlignment="1" applyProtection="1">
      <alignment horizontal="center" vertical="center" wrapText="1"/>
      <protection locked="0"/>
    </xf>
    <xf numFmtId="49" fontId="78" fillId="3" borderId="54" xfId="31" applyNumberFormat="1" applyFont="1" applyFill="1" applyBorder="1" applyAlignment="1" applyProtection="1">
      <alignment horizontal="center" vertical="center" wrapText="1"/>
      <protection locked="0"/>
    </xf>
    <xf numFmtId="49" fontId="78" fillId="3" borderId="56" xfId="31" applyNumberFormat="1" applyFont="1" applyFill="1" applyBorder="1" applyAlignment="1" applyProtection="1">
      <alignment horizontal="center" vertical="center" wrapText="1"/>
      <protection locked="0"/>
    </xf>
    <xf numFmtId="1" fontId="10" fillId="0" borderId="13" xfId="3" applyNumberFormat="1" applyFont="1" applyFill="1" applyBorder="1" applyAlignment="1">
      <alignment horizontal="center" vertical="top" wrapText="1"/>
    </xf>
    <xf numFmtId="1" fontId="10" fillId="0" borderId="12" xfId="3" applyNumberFormat="1" applyFont="1" applyFill="1" applyBorder="1" applyAlignment="1">
      <alignment horizontal="center" vertical="top" wrapText="1"/>
    </xf>
    <xf numFmtId="0" fontId="10" fillId="0" borderId="13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0" fontId="1" fillId="0" borderId="0" xfId="3" applyFont="1" applyAlignment="1">
      <alignment horizontal="left" vertical="center" wrapText="1"/>
    </xf>
    <xf numFmtId="0" fontId="5" fillId="0" borderId="0" xfId="3" applyAlignment="1">
      <alignment vertical="center" wrapText="1"/>
    </xf>
    <xf numFmtId="0" fontId="9" fillId="0" borderId="6" xfId="3" applyFont="1" applyBorder="1" applyAlignment="1">
      <alignment horizontal="center"/>
    </xf>
    <xf numFmtId="0" fontId="9" fillId="0" borderId="7" xfId="3" applyFont="1" applyBorder="1" applyAlignment="1">
      <alignment horizontal="center"/>
    </xf>
    <xf numFmtId="0" fontId="9" fillId="0" borderId="0" xfId="3" applyFont="1" applyBorder="1" applyAlignment="1">
      <alignment horizontal="center"/>
    </xf>
    <xf numFmtId="0" fontId="10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wrapText="1"/>
    </xf>
    <xf numFmtId="0" fontId="9" fillId="0" borderId="2" xfId="3" applyFont="1" applyBorder="1" applyAlignment="1">
      <alignment horizontal="center"/>
    </xf>
    <xf numFmtId="0" fontId="9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9" fillId="0" borderId="13" xfId="3" applyNumberFormat="1" applyFont="1" applyBorder="1" applyAlignment="1">
      <alignment horizontal="left" wrapText="1"/>
    </xf>
    <xf numFmtId="0" fontId="9" fillId="0" borderId="14" xfId="3" applyNumberFormat="1" applyFont="1" applyBorder="1" applyAlignment="1">
      <alignment horizontal="left" wrapText="1"/>
    </xf>
    <xf numFmtId="0" fontId="9" fillId="0" borderId="12" xfId="3" applyNumberFormat="1" applyFont="1" applyBorder="1" applyAlignment="1">
      <alignment horizontal="left" wrapText="1"/>
    </xf>
    <xf numFmtId="164" fontId="9" fillId="0" borderId="13" xfId="9" applyFont="1" applyBorder="1" applyAlignment="1">
      <alignment horizontal="center"/>
    </xf>
    <xf numFmtId="164" fontId="9" fillId="0" borderId="14" xfId="9" applyFont="1" applyBorder="1" applyAlignment="1">
      <alignment horizontal="center"/>
    </xf>
    <xf numFmtId="164" fontId="9" fillId="0" borderId="12" xfId="9" applyFont="1" applyBorder="1" applyAlignment="1">
      <alignment horizontal="center"/>
    </xf>
    <xf numFmtId="0" fontId="9" fillId="0" borderId="0" xfId="3" applyNumberFormat="1" applyFont="1" applyAlignment="1">
      <alignment horizontal="left" wrapText="1"/>
    </xf>
    <xf numFmtId="0" fontId="9" fillId="0" borderId="13" xfId="3" applyFont="1" applyBorder="1" applyAlignment="1">
      <alignment horizontal="center"/>
    </xf>
    <xf numFmtId="0" fontId="9" fillId="0" borderId="14" xfId="3" applyFont="1" applyBorder="1" applyAlignment="1">
      <alignment horizontal="center"/>
    </xf>
    <xf numFmtId="0" fontId="9" fillId="0" borderId="12" xfId="3" applyFont="1" applyBorder="1" applyAlignment="1">
      <alignment horizontal="center"/>
    </xf>
    <xf numFmtId="0" fontId="10" fillId="3" borderId="13" xfId="22" applyFont="1" applyFill="1" applyBorder="1" applyAlignment="1">
      <alignment horizontal="center"/>
    </xf>
    <xf numFmtId="0" fontId="10" fillId="3" borderId="14" xfId="22" applyFont="1" applyFill="1" applyBorder="1" applyAlignment="1">
      <alignment horizontal="center"/>
    </xf>
    <xf numFmtId="167" fontId="66" fillId="0" borderId="0" xfId="27" applyNumberFormat="1" applyFont="1" applyAlignment="1">
      <alignment horizontal="center"/>
    </xf>
    <xf numFmtId="0" fontId="10" fillId="3" borderId="3" xfId="24" applyFont="1" applyFill="1" applyBorder="1" applyAlignment="1">
      <alignment horizontal="center" wrapText="1"/>
    </xf>
    <xf numFmtId="0" fontId="70" fillId="0" borderId="48" xfId="22" applyFont="1" applyBorder="1" applyAlignment="1">
      <alignment horizontal="center" vertical="center" wrapText="1"/>
    </xf>
    <xf numFmtId="0" fontId="70" fillId="0" borderId="49" xfId="22" applyFont="1" applyBorder="1" applyAlignment="1">
      <alignment horizontal="center" vertical="center" wrapText="1"/>
    </xf>
    <xf numFmtId="0" fontId="10" fillId="0" borderId="10" xfId="22" applyFont="1" applyBorder="1" applyAlignment="1">
      <alignment horizontal="center" vertical="center" wrapText="1"/>
    </xf>
    <xf numFmtId="0" fontId="10" fillId="0" borderId="9" xfId="22" applyFont="1" applyBorder="1" applyAlignment="1">
      <alignment horizontal="center" vertical="center" wrapText="1"/>
    </xf>
    <xf numFmtId="0" fontId="10" fillId="0" borderId="13" xfId="22" applyFont="1" applyBorder="1" applyAlignment="1">
      <alignment horizontal="center" vertical="center"/>
    </xf>
    <xf numFmtId="0" fontId="10" fillId="0" borderId="12" xfId="22" applyFont="1" applyBorder="1" applyAlignment="1">
      <alignment horizontal="center" vertical="center"/>
    </xf>
    <xf numFmtId="0" fontId="10" fillId="0" borderId="15" xfId="22" applyFont="1" applyBorder="1" applyAlignment="1">
      <alignment horizontal="center" vertical="center"/>
    </xf>
    <xf numFmtId="0" fontId="10" fillId="3" borderId="11" xfId="24" applyFont="1" applyFill="1" applyBorder="1" applyAlignment="1">
      <alignment horizontal="center" wrapText="1"/>
    </xf>
    <xf numFmtId="0" fontId="10" fillId="3" borderId="11" xfId="24" applyFont="1" applyFill="1" applyBorder="1" applyAlignment="1">
      <alignment horizontal="center"/>
    </xf>
    <xf numFmtId="0" fontId="65" fillId="0" borderId="0" xfId="22" applyFont="1" applyBorder="1" applyAlignment="1">
      <alignment horizontal="left" vertical="center" wrapText="1"/>
    </xf>
    <xf numFmtId="0" fontId="66" fillId="0" borderId="0" xfId="0" applyFont="1" applyAlignment="1">
      <alignment horizontal="left"/>
    </xf>
    <xf numFmtId="167" fontId="66" fillId="0" borderId="0" xfId="0" applyNumberFormat="1" applyFont="1" applyAlignment="1">
      <alignment horizontal="center"/>
    </xf>
    <xf numFmtId="0" fontId="10" fillId="3" borderId="0" xfId="23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top" wrapText="1"/>
    </xf>
    <xf numFmtId="49" fontId="0" fillId="0" borderId="0" xfId="0" applyNumberFormat="1" applyAlignment="1" applyProtection="1">
      <alignment horizontal="center" vertical="top" wrapText="1"/>
      <protection locked="0"/>
    </xf>
    <xf numFmtId="0" fontId="56" fillId="0" borderId="0" xfId="0" applyFont="1" applyFill="1" applyAlignment="1">
      <alignment horizontal="center"/>
    </xf>
    <xf numFmtId="0" fontId="56" fillId="0" borderId="0" xfId="0" applyFont="1" applyFill="1" applyAlignment="1">
      <alignment horizontal="center" wrapText="1"/>
    </xf>
    <xf numFmtId="0" fontId="24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11" xfId="0" applyBorder="1" applyAlignment="1">
      <alignment horizontal="left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wrapText="1"/>
    </xf>
    <xf numFmtId="0" fontId="53" fillId="0" borderId="13" xfId="0" applyFont="1" applyFill="1" applyBorder="1" applyAlignment="1">
      <alignment horizontal="center" wrapText="1"/>
    </xf>
    <xf numFmtId="0" fontId="53" fillId="0" borderId="14" xfId="0" applyFont="1" applyFill="1" applyBorder="1" applyAlignment="1">
      <alignment horizontal="center" wrapText="1"/>
    </xf>
    <xf numFmtId="0" fontId="53" fillId="0" borderId="12" xfId="0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wrapText="1"/>
    </xf>
    <xf numFmtId="0" fontId="51" fillId="0" borderId="0" xfId="0" applyFont="1" applyAlignment="1">
      <alignment horizontal="center" vertical="top"/>
    </xf>
  </cellXfs>
  <cellStyles count="37">
    <cellStyle name="Вывод" xfId="28" builtinId="21"/>
    <cellStyle name="Вывод_Селезенево вариант заказчика" xfId="31"/>
    <cellStyle name="Обычный" xfId="0" builtinId="0"/>
    <cellStyle name="Обычный 12 4" xfId="15"/>
    <cellStyle name="Обычный 2" xfId="34"/>
    <cellStyle name="Обычный 2 2 2 2 3" xfId="3"/>
    <cellStyle name="Обычный 2 28" xfId="19"/>
    <cellStyle name="Обычный 2 3" xfId="22"/>
    <cellStyle name="Обычный 2 3 3" xfId="23"/>
    <cellStyle name="Обычный 2 4" xfId="14"/>
    <cellStyle name="Обычный 3 2 2 2 2" xfId="17"/>
    <cellStyle name="Обычный 3 2 3" xfId="5"/>
    <cellStyle name="Обычный 3 2 4 2" xfId="7"/>
    <cellStyle name="Обычный 3 4" xfId="8"/>
    <cellStyle name="Обычный 4" xfId="20"/>
    <cellStyle name="Обычный 49" xfId="36"/>
    <cellStyle name="Обычный 5 2" xfId="27"/>
    <cellStyle name="Обычный 6" xfId="10"/>
    <cellStyle name="Обычный 7" xfId="16"/>
    <cellStyle name="Обычный_070926 Проектные Вокзал-3" xfId="35"/>
    <cellStyle name="Обычный_1080  сводный расчет" xfId="2"/>
    <cellStyle name="Обычный_6200_PRT" xfId="1"/>
    <cellStyle name="Обычный_Xl0000038" xfId="29"/>
    <cellStyle name="Обычный_Максатиха реклоузер" xfId="33"/>
    <cellStyle name="Обычный_Образец расчёта ПТП для сметчиков" xfId="32"/>
    <cellStyle name="Обычный_ПИР ВЛ-0,4-20кВ" xfId="30"/>
    <cellStyle name="Процентный 2 2" xfId="18"/>
    <cellStyle name="Процентный 4" xfId="13"/>
    <cellStyle name="Титул" xfId="24"/>
    <cellStyle name="Финансовый 10 2" xfId="9"/>
    <cellStyle name="Финансовый 2" xfId="21"/>
    <cellStyle name="Финансовый 2 2" xfId="26"/>
    <cellStyle name="Финансовый 2 2 3" xfId="4"/>
    <cellStyle name="Финансовый 2 3 2" xfId="11"/>
    <cellStyle name="Финансовый 2 3 2 2" xfId="6"/>
    <cellStyle name="Финансовый 2 3 3" xfId="25"/>
    <cellStyle name="Финансовый_Башмаковское_ЗУ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9" Type="http://schemas.openxmlformats.org/officeDocument/2006/relationships/externalLink" Target="externalLinks/externalLink26.xml"/><Relationship Id="rId21" Type="http://schemas.openxmlformats.org/officeDocument/2006/relationships/externalLink" Target="externalLinks/externalLink8.xml"/><Relationship Id="rId34" Type="http://schemas.openxmlformats.org/officeDocument/2006/relationships/externalLink" Target="externalLinks/externalLink21.xml"/><Relationship Id="rId42" Type="http://schemas.openxmlformats.org/officeDocument/2006/relationships/externalLink" Target="externalLinks/externalLink29.xml"/><Relationship Id="rId47" Type="http://schemas.openxmlformats.org/officeDocument/2006/relationships/externalLink" Target="externalLinks/externalLink34.xml"/><Relationship Id="rId50" Type="http://schemas.openxmlformats.org/officeDocument/2006/relationships/externalLink" Target="externalLinks/externalLink37.xml"/><Relationship Id="rId55" Type="http://schemas.openxmlformats.org/officeDocument/2006/relationships/externalLink" Target="externalLinks/externalLink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28.xml"/><Relationship Id="rId54" Type="http://schemas.openxmlformats.org/officeDocument/2006/relationships/externalLink" Target="externalLinks/externalLink41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32" Type="http://schemas.openxmlformats.org/officeDocument/2006/relationships/externalLink" Target="externalLinks/externalLink19.xml"/><Relationship Id="rId37" Type="http://schemas.openxmlformats.org/officeDocument/2006/relationships/externalLink" Target="externalLinks/externalLink24.xml"/><Relationship Id="rId40" Type="http://schemas.openxmlformats.org/officeDocument/2006/relationships/externalLink" Target="externalLinks/externalLink27.xml"/><Relationship Id="rId45" Type="http://schemas.openxmlformats.org/officeDocument/2006/relationships/externalLink" Target="externalLinks/externalLink32.xml"/><Relationship Id="rId53" Type="http://schemas.openxmlformats.org/officeDocument/2006/relationships/externalLink" Target="externalLinks/externalLink40.xml"/><Relationship Id="rId58" Type="http://schemas.openxmlformats.org/officeDocument/2006/relationships/externalLink" Target="externalLinks/externalLink4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externalLink" Target="externalLinks/externalLink15.xml"/><Relationship Id="rId36" Type="http://schemas.openxmlformats.org/officeDocument/2006/relationships/externalLink" Target="externalLinks/externalLink23.xml"/><Relationship Id="rId49" Type="http://schemas.openxmlformats.org/officeDocument/2006/relationships/externalLink" Target="externalLinks/externalLink36.xml"/><Relationship Id="rId57" Type="http://schemas.openxmlformats.org/officeDocument/2006/relationships/externalLink" Target="externalLinks/externalLink44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31" Type="http://schemas.openxmlformats.org/officeDocument/2006/relationships/externalLink" Target="externalLinks/externalLink18.xml"/><Relationship Id="rId44" Type="http://schemas.openxmlformats.org/officeDocument/2006/relationships/externalLink" Target="externalLinks/externalLink31.xml"/><Relationship Id="rId52" Type="http://schemas.openxmlformats.org/officeDocument/2006/relationships/externalLink" Target="externalLinks/externalLink39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externalLink" Target="externalLinks/externalLink14.xml"/><Relationship Id="rId30" Type="http://schemas.openxmlformats.org/officeDocument/2006/relationships/externalLink" Target="externalLinks/externalLink17.xml"/><Relationship Id="rId35" Type="http://schemas.openxmlformats.org/officeDocument/2006/relationships/externalLink" Target="externalLinks/externalLink22.xml"/><Relationship Id="rId43" Type="http://schemas.openxmlformats.org/officeDocument/2006/relationships/externalLink" Target="externalLinks/externalLink30.xml"/><Relationship Id="rId48" Type="http://schemas.openxmlformats.org/officeDocument/2006/relationships/externalLink" Target="externalLinks/externalLink35.xml"/><Relationship Id="rId56" Type="http://schemas.openxmlformats.org/officeDocument/2006/relationships/externalLink" Target="externalLinks/externalLink4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33" Type="http://schemas.openxmlformats.org/officeDocument/2006/relationships/externalLink" Target="externalLinks/externalLink20.xml"/><Relationship Id="rId38" Type="http://schemas.openxmlformats.org/officeDocument/2006/relationships/externalLink" Target="externalLinks/externalLink25.xml"/><Relationship Id="rId46" Type="http://schemas.openxmlformats.org/officeDocument/2006/relationships/externalLink" Target="externalLinks/externalLink33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Pytkin.AD\AppData\Local\Microsoft\Windows\Temporary%20Internet%20Files\Content.Outlook\G2QAC247\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dobryakova.na\Desktop\&#1056;&#1072;&#1089;&#1095;&#1077;&#1090;&#1099;%20&#1085;&#1072;%20&#1090;&#1086;&#1088;&#1075;&#1080;\2015&#1075;\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obryakova\&#1056;&#1072;&#1073;&#1086;&#1095;&#1080;&#1081;%20&#1089;&#1090;&#1086;&#1083;\&#1056;&#1072;&#1089;&#1095;&#1077;&#1090;&#1099;%20&#1085;&#1072;%20&#1090;&#1086;&#1088;&#1075;&#1080;\2013&#1075;\_&#1054;&#1073;&#1097;&#1080;&#1081;%20&#1088;&#1072;&#1089;&#1095;&#1077;&#1090;_&#1090;&#1077;&#1082;.&#1094;&#1077;&#1085;&#1099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86;&#1073;&#1088;&#1072;&#1079;&#1094;&#1099;%20&#1089;&#1084;&#1077;&#1090;/_&#1054;&#1073;&#1097;&#1080;&#1081;%20&#1088;&#1072;&#1089;&#1095;&#1077;&#1090;_&#1090;&#1077;&#1082;.&#1094;&#1077;&#1085;&#109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86;&#1073;&#1088;&#1072;&#1079;&#1094;&#1099;%20&#1089;&#1084;&#1077;&#1090;/3472-3474%20&#1050;&#1072;&#1083;&#1100;&#1082;&#1091;&#1083;&#1103;&#1090;&#1086;&#108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olkov.is\Local%20Settings\Temporary%20Internet%20Files\Content.Outlook\0RR55NJ6\8,9,25,43_4%20&#1082;&#1074;%20&#1050;&#1072;&#1083;&#1100;&#1082;&#1091;&#1083;&#1103;&#1090;&#1086;&#1088;.xlsb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olkov.is\Local%20Settings\Temporary%20Internet%20Files\Content.Outlook\0RR55NJ6\74_4%20&#1082;&#1074;%20&#1050;&#1072;&#1083;&#1100;&#1082;&#1091;&#1083;&#1103;&#1090;&#1086;&#1088;.xlsb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yakova.na/Desktop/&#1056;&#1072;&#1089;&#1095;&#1077;&#1090;&#1099;%20&#1085;&#1072;%20&#1090;&#1086;&#1088;&#1075;&#1080;/2015&#1075;/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69-71-&#1050;&#1069;,%2020,21-&#1057;&#1047;&#1054;_1%20&#1082;&#1074;_&#1050;&#1072;&#1083;&#1100;&#1082;&#1091;&#1083;&#1103;&#1090;&#1086;&#1088;.xlsb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a\Desktop\&#1056;&#1072;&#1073;&#1086;&#1095;&#1072;&#1103;\&#1040;&#1088;&#1093;&#1080;&#1074;%20&#1051;&#1077;&#1085;&#1099;%2013.02.14\&#1083;&#1077;&#1085;&#1072;\&#1061;&#1072;&#1083;&#1090;&#1091;&#1088;&#1072;\&#1076;&#1083;&#1103;%20&#1052;&#1056;&#1057;&#1050;\&#1063;&#1077;&#1073;&#1072;&#1082;&#1086;&#1074;&#1086;%20&#1055;&#1080;&#1088;%20&#1087;&#1086;%20&#1058;&#1047;\&#1050;&#1086;&#1087;&#1080;&#1103;%20&#1055;&#1048;&#1056;%20&#1087;&#1088;&#1080;&#1084;&#1077;&#1088;%20&#1086;&#1090;%20&#1041;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bedeva.ya\AppData\Local\Microsoft\Windows\Temporary%20Internet%20Files\Content.Outlook\TJXX282P\&#1055;&#1048;&#1056;%20&#1055;&#1057;%20110%20%2010%20(002)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71;&#1085;&#1072;\&#1059;&#1087;&#1088;&#1072;&#1074;&#1083;&#1077;&#1085;&#1080;&#1077;%20&#1080;&#1085;&#1074;&#1077;&#1089;&#1090;&#1080;&#1094;&#1080;&#1081;\2017\&#1057;&#1052;&#1045;&#1058;&#1067;%202017&#1075;\&#1050;&#1051;-10&#1082;&#1042;%20&#1043;&#1053;&#1041;%20%20&#1048;&#1085;&#1076;&#1077;&#1082;&#1089;&#1099;_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bedeva.ya\AppData\Roaming\Microsoft\Excel\&#1050;&#1051;-10&#1082;&#1042;%20&#1043;&#1053;&#1041;%20%20&#1048;&#1085;&#1076;&#1077;&#1082;&#1089;&#1099;_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Список"/>
      <sheetName val="индексы"/>
      <sheetName val="данные"/>
      <sheetName val="расчет"/>
      <sheetName val="справочник"/>
    </sheetNames>
    <sheetDataSet>
      <sheetData sheetId="0"/>
      <sheetData sheetId="1"/>
      <sheetData sheetId="2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3"/>
      <sheetData sheetId="4"/>
      <sheetData sheetId="5"/>
      <sheetData sheetId="6">
        <row r="2">
          <cell r="A2" t="str">
            <v>Строительство ВЛ-10 кВ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2">
          <cell r="A2" t="str">
            <v>Строительство ВЛ-10 кВ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13">
          <cell r="G13">
            <v>528.36784906841319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СР"/>
      <sheetName val="1-Геод"/>
      <sheetName val="2-Геолог"/>
      <sheetName val="3- Эколог"/>
      <sheetName val="4-ПС"/>
      <sheetName val="5-ТМ"/>
      <sheetName val="6-АСК"/>
      <sheetName val="7-ООС"/>
      <sheetName val="8-ВЛ 35"/>
      <sheetName val="9-Геология вл 35"/>
      <sheetName val="10-Геодезия вл 35"/>
      <sheetName val="11топогр.КЛ 6 95 мм2"/>
      <sheetName val="12топогр вл 6"/>
      <sheetName val="13пир ВЛ 6"/>
      <sheetName val="14пир КЛ 6"/>
      <sheetName val="Лист1"/>
    </sheetNames>
    <sheetDataSet>
      <sheetData sheetId="0"/>
      <sheetData sheetId="1">
        <row r="11">
          <cell r="A11" t="str">
            <v>на выполнение проектно-изыскательских работ по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СР"/>
      <sheetName val="1-Геод"/>
      <sheetName val="2-Геолог"/>
      <sheetName val="3- Эколог"/>
      <sheetName val="4-ПС"/>
      <sheetName val="5-ТМ"/>
      <sheetName val="6-АСК"/>
      <sheetName val="7-ООС"/>
      <sheetName val="8-ВЛ 35 10 км"/>
      <sheetName val="9-ВЛ 35 21 км"/>
      <sheetName val="10-ВЛ 10 1 сш"/>
      <sheetName val="11-ВЛ 10 2 сш"/>
      <sheetName val="12-Геология вл 35 (10 км)"/>
      <sheetName val="13-Геология вл 35 (21 км)"/>
      <sheetName val="14-Геодезия вл 35 (10 км)"/>
      <sheetName val="15-Геодезия вл 35 (21 км) "/>
      <sheetName val="16топогр вл 10 1 с.ш."/>
      <sheetName val="17 топогр вл 10 2 с.ш. "/>
    </sheetNames>
    <sheetDataSet>
      <sheetData sheetId="0"/>
      <sheetData sheetId="1">
        <row r="11">
          <cell r="A11" t="str">
            <v>на выполнение проектно-изыскательских работ по</v>
          </cell>
        </row>
        <row r="19">
          <cell r="B19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"/>
      <sheetName val=" 12-гр. ЛС 1 (2)"/>
      <sheetName val="Source"/>
      <sheetName val="SourceObSm"/>
      <sheetName val="SmtRes"/>
      <sheetName val="EtalonRes"/>
    </sheetNames>
    <sheetDataSet>
      <sheetData sheetId="0" refreshError="1"/>
      <sheetData sheetId="1" refreshError="1"/>
      <sheetData sheetId="2">
        <row r="12">
          <cell r="AB12"/>
          <cell r="AC12"/>
          <cell r="AD12"/>
          <cell r="AE12"/>
          <cell r="AF12"/>
          <cell r="AI12"/>
          <cell r="AJ12"/>
        </row>
        <row r="20">
          <cell r="G20" t="str">
            <v>Строительство КЛ-10кВ ГНБ</v>
          </cell>
        </row>
        <row r="24">
          <cell r="G24" t="str">
            <v>Строительно-монтажные работы</v>
          </cell>
        </row>
        <row r="28">
          <cell r="E28" t="str">
            <v>1</v>
          </cell>
          <cell r="F28" t="str">
            <v>33-04-016-2</v>
          </cell>
          <cell r="G28" t="str">
            <v>Развозка конструкций и материалов опор ВЛ 0,38-10 кВ по трассе одностоечных железобетонных опор</v>
          </cell>
          <cell r="H28" t="str">
            <v>шт.</v>
          </cell>
          <cell r="I28">
            <v>2</v>
          </cell>
          <cell r="O28">
            <v>95.26</v>
          </cell>
          <cell r="Q28">
            <v>88.32</v>
          </cell>
          <cell r="R28">
            <v>12.5</v>
          </cell>
          <cell r="S28">
            <v>6.94</v>
          </cell>
          <cell r="U28">
            <v>0.88</v>
          </cell>
          <cell r="X28">
            <v>20.41</v>
          </cell>
          <cell r="Y28">
            <v>11.66</v>
          </cell>
          <cell r="AB28">
            <v>47.63</v>
          </cell>
          <cell r="AC28">
            <v>0</v>
          </cell>
          <cell r="AD28">
            <v>44.16</v>
          </cell>
          <cell r="AE28">
            <v>6.25</v>
          </cell>
          <cell r="AF28">
            <v>3.47</v>
          </cell>
          <cell r="AH28">
            <v>0.44</v>
          </cell>
          <cell r="AK28">
            <v>47.63</v>
          </cell>
          <cell r="AN28">
            <v>6.25</v>
          </cell>
          <cell r="AO28">
            <v>3.47</v>
          </cell>
          <cell r="AT28">
            <v>105</v>
          </cell>
          <cell r="AU28">
            <v>60</v>
          </cell>
          <cell r="BA28">
            <v>1</v>
          </cell>
          <cell r="BB28">
            <v>1</v>
          </cell>
          <cell r="BC28">
            <v>1</v>
          </cell>
          <cell r="BO28" t="str">
            <v>33-04-016-2</v>
          </cell>
          <cell r="BS28">
            <v>1</v>
          </cell>
          <cell r="BZ28">
            <v>105</v>
          </cell>
          <cell r="CA28">
            <v>60</v>
          </cell>
          <cell r="DD28"/>
          <cell r="DE28"/>
          <cell r="DF28"/>
          <cell r="DG28"/>
          <cell r="DY28">
            <v>127.336</v>
          </cell>
          <cell r="DZ28">
            <v>127.336</v>
          </cell>
          <cell r="ED28">
            <v>6.94</v>
          </cell>
          <cell r="EO28"/>
          <cell r="HA28">
            <v>0</v>
          </cell>
          <cell r="HB28">
            <v>0</v>
          </cell>
        </row>
        <row r="29">
          <cell r="E29" t="str">
            <v>2</v>
          </cell>
          <cell r="F29" t="str">
            <v>33-04-016-5</v>
          </cell>
          <cell r="G29" t="str">
            <v>Развозка конструкций и материалов опор ВЛ 0,38-10 кВ по трассе материалов оснастки одностоечных опор</v>
          </cell>
          <cell r="H29" t="str">
            <v>шт.</v>
          </cell>
          <cell r="I29">
            <v>2</v>
          </cell>
          <cell r="O29">
            <v>25.1</v>
          </cell>
          <cell r="Q29">
            <v>21.16</v>
          </cell>
          <cell r="R29">
            <v>3.64</v>
          </cell>
          <cell r="S29">
            <v>3.94</v>
          </cell>
          <cell r="U29">
            <v>0.5</v>
          </cell>
          <cell r="X29">
            <v>7.96</v>
          </cell>
          <cell r="Y29">
            <v>4.55</v>
          </cell>
          <cell r="AB29">
            <v>12.55</v>
          </cell>
          <cell r="AC29">
            <v>0</v>
          </cell>
          <cell r="AD29">
            <v>10.58</v>
          </cell>
          <cell r="AE29">
            <v>1.82</v>
          </cell>
          <cell r="AF29">
            <v>1.97</v>
          </cell>
          <cell r="AH29">
            <v>0.25</v>
          </cell>
          <cell r="AK29">
            <v>12.55</v>
          </cell>
          <cell r="AN29">
            <v>1.82</v>
          </cell>
          <cell r="AO29">
            <v>1.97</v>
          </cell>
          <cell r="AT29">
            <v>105</v>
          </cell>
          <cell r="AU29">
            <v>60</v>
          </cell>
          <cell r="BA29">
            <v>1</v>
          </cell>
          <cell r="BB29">
            <v>1</v>
          </cell>
          <cell r="BC29">
            <v>1</v>
          </cell>
          <cell r="BO29" t="str">
            <v>33-04-016-5</v>
          </cell>
          <cell r="BS29">
            <v>1</v>
          </cell>
          <cell r="BZ29">
            <v>105</v>
          </cell>
          <cell r="CA29">
            <v>60</v>
          </cell>
          <cell r="DD29"/>
          <cell r="DE29"/>
          <cell r="DF29"/>
          <cell r="DG29"/>
          <cell r="DY29">
            <v>37.606999999999999</v>
          </cell>
          <cell r="DZ29">
            <v>37.606999999999999</v>
          </cell>
          <cell r="ED29">
            <v>3.94</v>
          </cell>
          <cell r="EO29"/>
          <cell r="HA29">
            <v>0</v>
          </cell>
          <cell r="HB29">
            <v>0</v>
          </cell>
        </row>
        <row r="30">
          <cell r="E30" t="str">
            <v>3</v>
          </cell>
          <cell r="F30" t="str">
            <v>33-04-003-1</v>
          </cell>
          <cell r="G30" t="str">
            <v>Установка железобетонных опор ВЛ 0,38, 6-10 кВ с траверсами без приставок одностоечных</v>
          </cell>
          <cell r="H30" t="str">
            <v>шт.</v>
          </cell>
          <cell r="I30">
            <v>2</v>
          </cell>
          <cell r="O30">
            <v>455.32</v>
          </cell>
          <cell r="P30">
            <v>97.56</v>
          </cell>
          <cell r="Q30">
            <v>292.77999999999997</v>
          </cell>
          <cell r="R30">
            <v>17.46</v>
          </cell>
          <cell r="S30">
            <v>64.98</v>
          </cell>
          <cell r="U30">
            <v>7.6</v>
          </cell>
          <cell r="X30">
            <v>86.56</v>
          </cell>
          <cell r="Y30">
            <v>49.46</v>
          </cell>
          <cell r="AB30">
            <v>227.66</v>
          </cell>
          <cell r="AC30">
            <v>48.78</v>
          </cell>
          <cell r="AD30">
            <v>146.38999999999999</v>
          </cell>
          <cell r="AE30">
            <v>8.73</v>
          </cell>
          <cell r="AF30">
            <v>32.49</v>
          </cell>
          <cell r="AH30">
            <v>3.8</v>
          </cell>
          <cell r="AK30">
            <v>227.66</v>
          </cell>
          <cell r="AN30">
            <v>8.73</v>
          </cell>
          <cell r="AO30">
            <v>32.49</v>
          </cell>
          <cell r="AT30">
            <v>105</v>
          </cell>
          <cell r="AU30">
            <v>60</v>
          </cell>
          <cell r="BA30">
            <v>1</v>
          </cell>
          <cell r="BB30">
            <v>1</v>
          </cell>
          <cell r="BC30">
            <v>1</v>
          </cell>
          <cell r="BO30" t="str">
            <v>33-04-003-1</v>
          </cell>
          <cell r="BS30">
            <v>1</v>
          </cell>
          <cell r="BZ30">
            <v>105</v>
          </cell>
          <cell r="CA30">
            <v>60</v>
          </cell>
          <cell r="DD30"/>
          <cell r="DE30"/>
          <cell r="DF30"/>
          <cell r="DG30"/>
          <cell r="DY30">
            <v>591.346</v>
          </cell>
          <cell r="DZ30">
            <v>591.346</v>
          </cell>
          <cell r="ED30">
            <v>64.98</v>
          </cell>
          <cell r="EO30"/>
          <cell r="HA30">
            <v>0</v>
          </cell>
          <cell r="HB30">
            <v>0</v>
          </cell>
        </row>
        <row r="31">
          <cell r="E31" t="str">
            <v>4</v>
          </cell>
          <cell r="F31" t="str">
            <v>м08-01-082-1</v>
          </cell>
          <cell r="G31" t="str">
            <v>Зажим наборный без кожуха</v>
          </cell>
          <cell r="H31" t="str">
            <v>100 шт.</v>
          </cell>
          <cell r="I31">
            <v>0.18</v>
          </cell>
          <cell r="O31">
            <v>187.29</v>
          </cell>
          <cell r="P31">
            <v>103.67</v>
          </cell>
          <cell r="Q31">
            <v>5.03</v>
          </cell>
          <cell r="R31">
            <v>0.26</v>
          </cell>
          <cell r="S31">
            <v>78.59</v>
          </cell>
          <cell r="U31">
            <v>8.4599999999999991</v>
          </cell>
          <cell r="X31">
            <v>74.91</v>
          </cell>
          <cell r="Y31">
            <v>51.25</v>
          </cell>
          <cell r="AB31">
            <v>1040.53</v>
          </cell>
          <cell r="AC31">
            <v>575.92999999999995</v>
          </cell>
          <cell r="AD31">
            <v>27.97</v>
          </cell>
          <cell r="AE31">
            <v>1.43</v>
          </cell>
          <cell r="AF31">
            <v>436.63</v>
          </cell>
          <cell r="AH31">
            <v>47</v>
          </cell>
          <cell r="AK31">
            <v>1040.53</v>
          </cell>
          <cell r="AN31">
            <v>1.43</v>
          </cell>
          <cell r="AO31">
            <v>436.63</v>
          </cell>
          <cell r="AT31">
            <v>95</v>
          </cell>
          <cell r="AU31">
            <v>65</v>
          </cell>
          <cell r="BA31">
            <v>1</v>
          </cell>
          <cell r="BB31">
            <v>1</v>
          </cell>
          <cell r="BC31">
            <v>1</v>
          </cell>
          <cell r="BO31" t="str">
            <v>м08-01-082-1</v>
          </cell>
          <cell r="BS31">
            <v>1</v>
          </cell>
          <cell r="BZ31">
            <v>95</v>
          </cell>
          <cell r="CA31">
            <v>65</v>
          </cell>
          <cell r="DD31"/>
          <cell r="DE31"/>
          <cell r="DF31"/>
          <cell r="DG31"/>
          <cell r="DY31">
            <v>313.45668000000001</v>
          </cell>
          <cell r="EA31">
            <v>313.45668000000001</v>
          </cell>
          <cell r="ED31">
            <v>78.593400000000003</v>
          </cell>
          <cell r="EO31"/>
          <cell r="HA31">
            <v>0</v>
          </cell>
          <cell r="HB31">
            <v>0</v>
          </cell>
        </row>
        <row r="32">
          <cell r="E32" t="str">
            <v>5</v>
          </cell>
          <cell r="F32" t="str">
            <v>34-02-019-4</v>
          </cell>
          <cell r="G32" t="str">
            <v>Устройство переходов в грунтах I-III группы для прокладки труб диаметром свыше 160 мм до 300 мм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 40 Кн</v>
          </cell>
          <cell r="H32" t="str">
            <v>м</v>
          </cell>
          <cell r="I32">
            <v>368</v>
          </cell>
          <cell r="O32">
            <v>380088.8</v>
          </cell>
          <cell r="P32">
            <v>49643.199999999997</v>
          </cell>
          <cell r="Q32">
            <v>329231.2</v>
          </cell>
          <cell r="R32">
            <v>15724.64</v>
          </cell>
          <cell r="S32">
            <v>1214.4000000000001</v>
          </cell>
          <cell r="U32">
            <v>132.47999999999999</v>
          </cell>
          <cell r="X32">
            <v>14398.18</v>
          </cell>
          <cell r="Y32">
            <v>8808.2999999999993</v>
          </cell>
          <cell r="AB32">
            <v>1032.8499999999999</v>
          </cell>
          <cell r="AC32">
            <v>134.9</v>
          </cell>
          <cell r="AD32">
            <v>894.65</v>
          </cell>
          <cell r="AE32">
            <v>42.73</v>
          </cell>
          <cell r="AF32">
            <v>3.3</v>
          </cell>
          <cell r="AH32">
            <v>0.36</v>
          </cell>
          <cell r="AK32">
            <v>1032.8499999999999</v>
          </cell>
          <cell r="AN32">
            <v>42.73</v>
          </cell>
          <cell r="AO32">
            <v>3.3</v>
          </cell>
          <cell r="AT32">
            <v>85</v>
          </cell>
          <cell r="AU32">
            <v>52</v>
          </cell>
          <cell r="BA32">
            <v>1</v>
          </cell>
          <cell r="BB32">
            <v>1</v>
          </cell>
          <cell r="BC32">
            <v>1</v>
          </cell>
          <cell r="BO32"/>
          <cell r="BS32">
            <v>1</v>
          </cell>
          <cell r="BZ32">
            <v>100</v>
          </cell>
          <cell r="CA32">
            <v>65</v>
          </cell>
          <cell r="DD32"/>
          <cell r="DE32"/>
          <cell r="DF32"/>
          <cell r="DG32"/>
          <cell r="DY32">
            <v>403295.28480000002</v>
          </cell>
          <cell r="DZ32">
            <v>403295.28480000002</v>
          </cell>
          <cell r="ED32">
            <v>1214.3999999999999</v>
          </cell>
          <cell r="EO32"/>
          <cell r="HA32">
            <v>0</v>
          </cell>
          <cell r="HB32">
            <v>0</v>
          </cell>
        </row>
        <row r="33">
          <cell r="E33" t="str">
            <v>6</v>
          </cell>
          <cell r="F33" t="str">
            <v>м08-02-148-4</v>
          </cell>
          <cell r="G33" t="str">
            <v>Кабель до 35 кВ в проложенных трубах, блоках и коробах, масса 1 м кабеля до 6 кг</v>
          </cell>
          <cell r="H33" t="str">
            <v>100 М КАБЕЛЯ</v>
          </cell>
          <cell r="I33">
            <v>3.68</v>
          </cell>
          <cell r="O33">
            <v>1271.77</v>
          </cell>
          <cell r="P33">
            <v>144.84</v>
          </cell>
          <cell r="Q33">
            <v>339.26</v>
          </cell>
          <cell r="R33">
            <v>9.6</v>
          </cell>
          <cell r="S33">
            <v>787.67</v>
          </cell>
          <cell r="U33">
            <v>84.787199999999999</v>
          </cell>
          <cell r="X33">
            <v>757.41</v>
          </cell>
          <cell r="Y33">
            <v>518.23</v>
          </cell>
          <cell r="AB33">
            <v>345.59</v>
          </cell>
          <cell r="AC33">
            <v>39.36</v>
          </cell>
          <cell r="AD33">
            <v>92.19</v>
          </cell>
          <cell r="AE33">
            <v>2.61</v>
          </cell>
          <cell r="AF33">
            <v>214.04</v>
          </cell>
          <cell r="AH33">
            <v>23.04</v>
          </cell>
          <cell r="AK33">
            <v>345.59</v>
          </cell>
          <cell r="AN33">
            <v>2.61</v>
          </cell>
          <cell r="AO33">
            <v>214.04</v>
          </cell>
          <cell r="AT33">
            <v>95</v>
          </cell>
          <cell r="AU33">
            <v>65</v>
          </cell>
          <cell r="BA33">
            <v>1</v>
          </cell>
          <cell r="BB33">
            <v>1</v>
          </cell>
          <cell r="BC33">
            <v>1</v>
          </cell>
          <cell r="BO33" t="str">
            <v>м08-02-148-4</v>
          </cell>
          <cell r="BS33">
            <v>1</v>
          </cell>
          <cell r="BZ33">
            <v>95</v>
          </cell>
          <cell r="CA33">
            <v>65</v>
          </cell>
          <cell r="DD33"/>
          <cell r="DE33"/>
          <cell r="DF33"/>
          <cell r="DG33"/>
          <cell r="DY33">
            <v>2547.4063999999998</v>
          </cell>
          <cell r="EA33">
            <v>2547.4063999999998</v>
          </cell>
          <cell r="ED33">
            <v>787.66719999999998</v>
          </cell>
          <cell r="EO33"/>
          <cell r="HA33">
            <v>0</v>
          </cell>
          <cell r="HB33">
            <v>0</v>
          </cell>
        </row>
        <row r="34">
          <cell r="E34" t="str">
            <v>7</v>
          </cell>
          <cell r="F34" t="str">
            <v>33-04-015-1</v>
          </cell>
          <cell r="G34" t="str">
            <v>Устройство заземления опор ВЛ и подстанций</v>
          </cell>
          <cell r="H34" t="str">
            <v>10 м</v>
          </cell>
          <cell r="I34">
            <v>7.3</v>
          </cell>
          <cell r="O34">
            <v>230.83</v>
          </cell>
          <cell r="P34">
            <v>8.83</v>
          </cell>
          <cell r="Q34">
            <v>114.76</v>
          </cell>
          <cell r="S34">
            <v>107.24</v>
          </cell>
          <cell r="U34">
            <v>13.14</v>
          </cell>
          <cell r="X34">
            <v>112.6</v>
          </cell>
          <cell r="Y34">
            <v>64.34</v>
          </cell>
          <cell r="AB34">
            <v>31.62</v>
          </cell>
          <cell r="AC34">
            <v>1.21</v>
          </cell>
          <cell r="AD34">
            <v>15.72</v>
          </cell>
          <cell r="AE34">
            <v>0</v>
          </cell>
          <cell r="AF34">
            <v>14.69</v>
          </cell>
          <cell r="AH34">
            <v>1.8</v>
          </cell>
          <cell r="AK34">
            <v>31.62</v>
          </cell>
          <cell r="AN34">
            <v>0</v>
          </cell>
          <cell r="AO34">
            <v>14.69</v>
          </cell>
          <cell r="AT34">
            <v>105</v>
          </cell>
          <cell r="AU34">
            <v>60</v>
          </cell>
          <cell r="BA34">
            <v>1</v>
          </cell>
          <cell r="BB34">
            <v>1</v>
          </cell>
          <cell r="BC34">
            <v>1</v>
          </cell>
          <cell r="BO34" t="str">
            <v>33-04-015-1</v>
          </cell>
          <cell r="BS34">
            <v>1</v>
          </cell>
          <cell r="BZ34">
            <v>105</v>
          </cell>
          <cell r="CA34">
            <v>60</v>
          </cell>
          <cell r="DD34"/>
          <cell r="DE34"/>
          <cell r="DF34"/>
          <cell r="DG34"/>
          <cell r="DY34">
            <v>407.76704999999998</v>
          </cell>
          <cell r="DZ34">
            <v>407.76704999999998</v>
          </cell>
          <cell r="ED34">
            <v>107.23699999999999</v>
          </cell>
          <cell r="EO34"/>
          <cell r="HA34">
            <v>0</v>
          </cell>
          <cell r="HB34">
            <v>0</v>
          </cell>
        </row>
        <row r="35">
          <cell r="E35" t="str">
            <v>8</v>
          </cell>
          <cell r="F35" t="str">
            <v>м08-02-472-7</v>
          </cell>
          <cell r="G35" t="str">
            <v>Проводник заземляющий открыто по строительным основаниям: из полосовой стали сечением 250 мм2 (прим.)</v>
          </cell>
          <cell r="H35" t="str">
            <v>100 м</v>
          </cell>
          <cell r="I35">
            <v>1.32E-2</v>
          </cell>
          <cell r="O35">
            <v>18.489999999999998</v>
          </cell>
          <cell r="P35">
            <v>14.79</v>
          </cell>
          <cell r="Q35">
            <v>1.1499999999999999</v>
          </cell>
          <cell r="R35">
            <v>0.04</v>
          </cell>
          <cell r="S35">
            <v>2.5499999999999998</v>
          </cell>
          <cell r="U35">
            <v>0.28116000000000002</v>
          </cell>
          <cell r="X35">
            <v>2.46</v>
          </cell>
          <cell r="Y35">
            <v>1.68</v>
          </cell>
          <cell r="AB35">
            <v>1401.29</v>
          </cell>
          <cell r="AC35">
            <v>1120.5999999999999</v>
          </cell>
          <cell r="AD35">
            <v>87.29</v>
          </cell>
          <cell r="AE35">
            <v>3.26</v>
          </cell>
          <cell r="AF35">
            <v>193.4</v>
          </cell>
          <cell r="AH35">
            <v>21.3</v>
          </cell>
          <cell r="AK35">
            <v>1401.29</v>
          </cell>
          <cell r="AN35">
            <v>3.26</v>
          </cell>
          <cell r="AO35">
            <v>193.4</v>
          </cell>
          <cell r="AT35">
            <v>95</v>
          </cell>
          <cell r="AU35">
            <v>65</v>
          </cell>
          <cell r="BA35">
            <v>1</v>
          </cell>
          <cell r="BB35">
            <v>1</v>
          </cell>
          <cell r="BC35">
            <v>1</v>
          </cell>
          <cell r="BO35" t="str">
            <v>м08-02-472-7</v>
          </cell>
          <cell r="BS35">
            <v>1</v>
          </cell>
          <cell r="BZ35">
            <v>95</v>
          </cell>
          <cell r="CA35">
            <v>65</v>
          </cell>
          <cell r="DD35"/>
          <cell r="DE35"/>
          <cell r="DF35"/>
          <cell r="DG35"/>
          <cell r="DY35">
            <v>22.650487200000001</v>
          </cell>
          <cell r="EA35">
            <v>22.650487200000001</v>
          </cell>
          <cell r="ED35">
            <v>2.55288</v>
          </cell>
          <cell r="EO35"/>
          <cell r="HA35">
            <v>0</v>
          </cell>
          <cell r="HB35">
            <v>0</v>
          </cell>
        </row>
        <row r="36">
          <cell r="E36" t="str">
            <v>9</v>
          </cell>
          <cell r="F36" t="str">
            <v>33-03-004-1</v>
          </cell>
          <cell r="G36" t="str">
            <v>Забивка вертикальных заземлителей механизированная, на глубину до 5 м</v>
          </cell>
          <cell r="H36" t="str">
            <v>шт.</v>
          </cell>
          <cell r="I36">
            <v>4</v>
          </cell>
          <cell r="O36">
            <v>595</v>
          </cell>
          <cell r="P36">
            <v>99.28</v>
          </cell>
          <cell r="Q36">
            <v>469.28</v>
          </cell>
          <cell r="R36">
            <v>23.68</v>
          </cell>
          <cell r="S36">
            <v>26.44</v>
          </cell>
          <cell r="U36">
            <v>3.24</v>
          </cell>
          <cell r="X36">
            <v>52.63</v>
          </cell>
          <cell r="Y36">
            <v>30.07</v>
          </cell>
          <cell r="AB36">
            <v>148.75</v>
          </cell>
          <cell r="AC36">
            <v>24.82</v>
          </cell>
          <cell r="AD36">
            <v>117.32</v>
          </cell>
          <cell r="AE36">
            <v>5.92</v>
          </cell>
          <cell r="AF36">
            <v>6.61</v>
          </cell>
          <cell r="AH36">
            <v>0.81</v>
          </cell>
          <cell r="AK36">
            <v>148.75</v>
          </cell>
          <cell r="AN36">
            <v>5.92</v>
          </cell>
          <cell r="AO36">
            <v>6.61</v>
          </cell>
          <cell r="AT36">
            <v>105</v>
          </cell>
          <cell r="AU36">
            <v>60</v>
          </cell>
          <cell r="BA36">
            <v>1</v>
          </cell>
          <cell r="BB36">
            <v>1</v>
          </cell>
          <cell r="BC36">
            <v>1</v>
          </cell>
          <cell r="BO36" t="str">
            <v>33-03-004-1</v>
          </cell>
          <cell r="BS36">
            <v>1</v>
          </cell>
          <cell r="BZ36">
            <v>105</v>
          </cell>
          <cell r="CA36">
            <v>60</v>
          </cell>
          <cell r="DD36"/>
          <cell r="DE36"/>
          <cell r="DF36"/>
          <cell r="DG36"/>
          <cell r="DY36">
            <v>677.69799999999998</v>
          </cell>
          <cell r="DZ36">
            <v>677.69799999999998</v>
          </cell>
          <cell r="ED36">
            <v>26.44</v>
          </cell>
          <cell r="EO36"/>
          <cell r="HA36">
            <v>0</v>
          </cell>
          <cell r="HB36">
            <v>0</v>
          </cell>
        </row>
        <row r="37">
          <cell r="E37" t="str">
            <v>10</v>
          </cell>
          <cell r="F37" t="str">
            <v>м08-02-146-3</v>
          </cell>
          <cell r="G37" t="str">
            <v>Кабель до 35 кВ с креплением накладными скобами, масса 1 м кабеля до 2 кг</v>
          </cell>
          <cell r="H37" t="str">
            <v>100 М КАБЕЛЯ</v>
          </cell>
          <cell r="I37">
            <v>0.15</v>
          </cell>
          <cell r="O37">
            <v>149.05000000000001</v>
          </cell>
          <cell r="P37">
            <v>9.5399999999999991</v>
          </cell>
          <cell r="Q37">
            <v>117.99</v>
          </cell>
          <cell r="R37">
            <v>9.77</v>
          </cell>
          <cell r="S37">
            <v>21.52</v>
          </cell>
          <cell r="U37">
            <v>2.3159999999999998</v>
          </cell>
          <cell r="X37">
            <v>29.73</v>
          </cell>
          <cell r="Y37">
            <v>20.34</v>
          </cell>
          <cell r="AB37">
            <v>993.65</v>
          </cell>
          <cell r="AC37">
            <v>63.6</v>
          </cell>
          <cell r="AD37">
            <v>786.61</v>
          </cell>
          <cell r="AE37">
            <v>65.150000000000006</v>
          </cell>
          <cell r="AF37">
            <v>143.44</v>
          </cell>
          <cell r="AH37">
            <v>15.44</v>
          </cell>
          <cell r="AK37">
            <v>993.65</v>
          </cell>
          <cell r="AN37">
            <v>65.150000000000006</v>
          </cell>
          <cell r="AO37">
            <v>143.44</v>
          </cell>
          <cell r="AT37">
            <v>95</v>
          </cell>
          <cell r="AU37">
            <v>65</v>
          </cell>
          <cell r="BA37">
            <v>1</v>
          </cell>
          <cell r="BB37">
            <v>1</v>
          </cell>
          <cell r="BC37">
            <v>1</v>
          </cell>
          <cell r="BO37" t="str">
            <v>м08-02-146-3</v>
          </cell>
          <cell r="BS37">
            <v>1</v>
          </cell>
          <cell r="BZ37">
            <v>95</v>
          </cell>
          <cell r="CA37">
            <v>65</v>
          </cell>
          <cell r="DD37"/>
          <cell r="DE37"/>
          <cell r="DF37"/>
          <cell r="DG37"/>
          <cell r="DY37">
            <v>199.10909999999998</v>
          </cell>
          <cell r="EA37">
            <v>199.10909999999998</v>
          </cell>
          <cell r="ED37">
            <v>21.515999999999998</v>
          </cell>
          <cell r="EO37"/>
          <cell r="HA37">
            <v>0</v>
          </cell>
          <cell r="HB37">
            <v>0</v>
          </cell>
        </row>
        <row r="41">
          <cell r="F41">
            <v>383116.91</v>
          </cell>
          <cell r="H41" t="str">
            <v>Прямые затраты</v>
          </cell>
        </row>
        <row r="42">
          <cell r="F42">
            <v>50121.71</v>
          </cell>
          <cell r="H42" t="str">
            <v>Стоимость материальных ресурсов (всего)</v>
          </cell>
        </row>
        <row r="51">
          <cell r="F51">
            <v>330680.93</v>
          </cell>
          <cell r="H51" t="str">
            <v>Эксплуатация машин</v>
          </cell>
        </row>
        <row r="53">
          <cell r="F53">
            <v>15801.59</v>
          </cell>
          <cell r="H53" t="str">
            <v>ЗП машинистов</v>
          </cell>
        </row>
        <row r="54">
          <cell r="F54">
            <v>2314.27</v>
          </cell>
          <cell r="H54" t="str">
            <v>Основная ЗП рабочих</v>
          </cell>
        </row>
        <row r="56">
          <cell r="F56">
            <v>405137.03</v>
          </cell>
          <cell r="H56" t="str">
            <v>Строительные работы с НР и СП</v>
          </cell>
        </row>
        <row r="57">
          <cell r="F57">
            <v>3082.61</v>
          </cell>
          <cell r="H57" t="str">
            <v>Монтажные работы с НР и СП</v>
          </cell>
        </row>
        <row r="61">
          <cell r="F61">
            <v>253.68</v>
          </cell>
          <cell r="H61" t="str">
            <v>Трудозатраты строителей</v>
          </cell>
        </row>
        <row r="62">
          <cell r="F62">
            <v>1346.27</v>
          </cell>
          <cell r="H62" t="str">
            <v>Трудозатраты машинистов</v>
          </cell>
        </row>
        <row r="64">
          <cell r="F64">
            <v>15542.85</v>
          </cell>
          <cell r="H64" t="str">
            <v>Накладные расходы</v>
          </cell>
        </row>
        <row r="65">
          <cell r="F65">
            <v>9559.8799999999992</v>
          </cell>
          <cell r="H65" t="str">
            <v>Сметная прибыль</v>
          </cell>
        </row>
        <row r="66">
          <cell r="F66">
            <v>408219.64</v>
          </cell>
          <cell r="H66" t="str">
            <v>Всего с НР и СП</v>
          </cell>
        </row>
        <row r="67">
          <cell r="F67">
            <v>408219.64</v>
          </cell>
          <cell r="H67" t="str">
            <v>Итого</v>
          </cell>
        </row>
        <row r="69">
          <cell r="G69" t="str">
            <v>Материалы не учтенные ценником</v>
          </cell>
        </row>
        <row r="71">
          <cell r="DY71">
            <v>0</v>
          </cell>
          <cell r="DZ71">
            <v>0</v>
          </cell>
          <cell r="EA71">
            <v>0</v>
          </cell>
          <cell r="EB71">
            <v>0</v>
          </cell>
          <cell r="EC71">
            <v>0</v>
          </cell>
          <cell r="ED71">
            <v>0</v>
          </cell>
        </row>
        <row r="73">
          <cell r="E73" t="str">
            <v>11</v>
          </cell>
          <cell r="F73" t="str">
            <v>2122932</v>
          </cell>
          <cell r="G73" t="str">
            <v>Стойка СВ 110-5</v>
          </cell>
          <cell r="H73" t="str">
            <v>шт.</v>
          </cell>
          <cell r="I73">
            <v>2</v>
          </cell>
          <cell r="O73">
            <v>4722.8999999999996</v>
          </cell>
          <cell r="AB73">
            <v>2361.4499999999998</v>
          </cell>
          <cell r="DD73" t="str">
            <v>)/4,98</v>
          </cell>
          <cell r="DY73">
            <v>4722.8999999999996</v>
          </cell>
          <cell r="DZ73">
            <v>4722.8999999999996</v>
          </cell>
          <cell r="EO73"/>
          <cell r="HA73">
            <v>0</v>
          </cell>
        </row>
        <row r="74">
          <cell r="E74" t="str">
            <v>12</v>
          </cell>
          <cell r="F74" t="str">
            <v>2224548</v>
          </cell>
          <cell r="G74" t="str">
            <v>Изолятор подвесной ПС-70</v>
          </cell>
          <cell r="H74" t="str">
            <v>шт.</v>
          </cell>
          <cell r="I74">
            <v>12</v>
          </cell>
          <cell r="O74">
            <v>1426.56</v>
          </cell>
          <cell r="AB74">
            <v>118.88</v>
          </cell>
          <cell r="DD74" t="str">
            <v>)/4,98</v>
          </cell>
          <cell r="DY74">
            <v>1426.56</v>
          </cell>
          <cell r="DZ74">
            <v>1426.56</v>
          </cell>
          <cell r="EO74"/>
          <cell r="HA74">
            <v>0</v>
          </cell>
        </row>
        <row r="75">
          <cell r="E75" t="str">
            <v>13</v>
          </cell>
          <cell r="F75" t="str">
            <v>2042600</v>
          </cell>
          <cell r="G75" t="str">
            <v>Серьга специальная СРС-7-17</v>
          </cell>
          <cell r="H75" t="str">
            <v>шт.</v>
          </cell>
          <cell r="I75">
            <v>6</v>
          </cell>
          <cell r="O75">
            <v>159.36000000000001</v>
          </cell>
          <cell r="AB75">
            <v>26.56</v>
          </cell>
          <cell r="DD75" t="str">
            <v>)/4,98</v>
          </cell>
          <cell r="DY75">
            <v>159.35999999999999</v>
          </cell>
          <cell r="DZ75">
            <v>159.35999999999999</v>
          </cell>
          <cell r="EO75"/>
          <cell r="HA75">
            <v>0</v>
          </cell>
        </row>
        <row r="76">
          <cell r="E76" t="str">
            <v>14</v>
          </cell>
          <cell r="F76" t="str">
            <v>2114882</v>
          </cell>
          <cell r="G76" t="str">
            <v>Ушко однолапчатое У1-7-16</v>
          </cell>
          <cell r="H76" t="str">
            <v>шт.</v>
          </cell>
          <cell r="I76">
            <v>6</v>
          </cell>
          <cell r="O76">
            <v>320.33999999999997</v>
          </cell>
          <cell r="AB76">
            <v>53.39</v>
          </cell>
          <cell r="DD76" t="str">
            <v>)/4,98</v>
          </cell>
          <cell r="DY76">
            <v>320.34000000000003</v>
          </cell>
          <cell r="DZ76">
            <v>320.34000000000003</v>
          </cell>
          <cell r="EO76"/>
          <cell r="HA76">
            <v>0</v>
          </cell>
        </row>
        <row r="77">
          <cell r="E77" t="str">
            <v>15</v>
          </cell>
          <cell r="F77" t="str">
            <v>2113174</v>
          </cell>
          <cell r="G77" t="str">
            <v>Зажим плашечный ПС-2-1</v>
          </cell>
          <cell r="H77" t="str">
            <v>шт.</v>
          </cell>
          <cell r="I77">
            <v>6</v>
          </cell>
          <cell r="O77">
            <v>108.48</v>
          </cell>
          <cell r="AB77">
            <v>18.079999999999998</v>
          </cell>
          <cell r="DD77" t="str">
            <v>)/4,98</v>
          </cell>
          <cell r="DY77">
            <v>108.47999999999999</v>
          </cell>
          <cell r="DZ77">
            <v>108.47999999999999</v>
          </cell>
          <cell r="EO77"/>
          <cell r="HA77">
            <v>0</v>
          </cell>
        </row>
        <row r="78">
          <cell r="E78" t="str">
            <v>16</v>
          </cell>
          <cell r="F78" t="str">
            <v>2104010</v>
          </cell>
          <cell r="G78" t="str">
            <v>Провод СИП 3-1х50</v>
          </cell>
          <cell r="H78" t="str">
            <v>м</v>
          </cell>
          <cell r="I78">
            <v>15</v>
          </cell>
          <cell r="O78">
            <v>247.5</v>
          </cell>
          <cell r="AB78">
            <v>16.5</v>
          </cell>
          <cell r="DD78" t="str">
            <v>)/4,98</v>
          </cell>
          <cell r="DY78">
            <v>247.5</v>
          </cell>
          <cell r="DZ78">
            <v>247.5</v>
          </cell>
          <cell r="EO78"/>
          <cell r="HA78">
            <v>0</v>
          </cell>
        </row>
        <row r="79">
          <cell r="E79" t="str">
            <v>17</v>
          </cell>
          <cell r="F79"/>
          <cell r="G79" t="str">
            <v>Трубы полиэтиленовые низкого давления ПНД 400мм</v>
          </cell>
          <cell r="H79" t="str">
            <v>м</v>
          </cell>
          <cell r="I79">
            <v>368</v>
          </cell>
          <cell r="O79">
            <v>37539.68</v>
          </cell>
          <cell r="AB79">
            <v>102.01</v>
          </cell>
          <cell r="DD79" t="str">
            <v>)/4,98</v>
          </cell>
          <cell r="DY79">
            <v>37539.68</v>
          </cell>
          <cell r="DZ79">
            <v>37539.68</v>
          </cell>
          <cell r="EO79"/>
          <cell r="HA79">
            <v>0</v>
          </cell>
        </row>
        <row r="80">
          <cell r="E80" t="str">
            <v>18</v>
          </cell>
          <cell r="F80"/>
          <cell r="G80" t="str">
            <v>Кабель 240мм2</v>
          </cell>
          <cell r="H80" t="str">
            <v>м</v>
          </cell>
          <cell r="I80">
            <v>368</v>
          </cell>
          <cell r="O80">
            <v>80470.559999999998</v>
          </cell>
          <cell r="AB80">
            <v>218.67</v>
          </cell>
          <cell r="DD80" t="str">
            <v>)/4,98</v>
          </cell>
          <cell r="DY80">
            <v>80470.559999999998</v>
          </cell>
          <cell r="DZ80">
            <v>80470.559999999998</v>
          </cell>
          <cell r="EO80"/>
          <cell r="HA80">
            <v>0</v>
          </cell>
        </row>
        <row r="84">
          <cell r="F84">
            <v>124995.38</v>
          </cell>
          <cell r="H84" t="str">
            <v>Прямые затраты</v>
          </cell>
        </row>
        <row r="85">
          <cell r="F85">
            <v>124995.38</v>
          </cell>
          <cell r="H85" t="str">
            <v>Стоимость материальных ресурсов (всего)</v>
          </cell>
        </row>
        <row r="99">
          <cell r="F99">
            <v>124995.38</v>
          </cell>
          <cell r="H99" t="str">
            <v>Строительные работы с НР и СП</v>
          </cell>
        </row>
        <row r="109">
          <cell r="F109">
            <v>124995.38</v>
          </cell>
          <cell r="H109" t="str">
            <v>Всего с НР и СП</v>
          </cell>
        </row>
        <row r="110">
          <cell r="F110">
            <v>124995.38</v>
          </cell>
          <cell r="H110" t="str">
            <v>Итого</v>
          </cell>
        </row>
        <row r="111">
          <cell r="H111" t="str">
            <v>ТЗР 11%</v>
          </cell>
        </row>
        <row r="112">
          <cell r="F112">
            <v>124995.38</v>
          </cell>
          <cell r="H112" t="str">
            <v>Итого с ТЗР 11%</v>
          </cell>
        </row>
        <row r="114">
          <cell r="G114" t="str">
            <v>Пусконаладочные работы</v>
          </cell>
        </row>
        <row r="116"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</row>
        <row r="118">
          <cell r="E118" t="str">
            <v>19</v>
          </cell>
          <cell r="F118" t="str">
            <v>п01-11-011-1</v>
          </cell>
          <cell r="G118" t="str">
            <v>Проверка наличия цепи между заземлителями и заземленными элементами</v>
          </cell>
          <cell r="H118" t="str">
            <v>100точек</v>
          </cell>
          <cell r="I118">
            <v>0.04</v>
          </cell>
          <cell r="O118">
            <v>7.91</v>
          </cell>
          <cell r="S118">
            <v>7.91</v>
          </cell>
          <cell r="U118">
            <v>0.64</v>
          </cell>
          <cell r="X118">
            <v>5.14</v>
          </cell>
          <cell r="Y118">
            <v>3.16</v>
          </cell>
          <cell r="AB118">
            <v>197.76</v>
          </cell>
          <cell r="AD118">
            <v>0</v>
          </cell>
          <cell r="AE118">
            <v>0</v>
          </cell>
          <cell r="AF118">
            <v>197.76</v>
          </cell>
          <cell r="AH118">
            <v>16</v>
          </cell>
          <cell r="AK118">
            <v>197.76</v>
          </cell>
          <cell r="AN118">
            <v>0</v>
          </cell>
          <cell r="AO118">
            <v>197.76</v>
          </cell>
          <cell r="AT118">
            <v>65</v>
          </cell>
          <cell r="AU118">
            <v>40</v>
          </cell>
          <cell r="BA118">
            <v>1</v>
          </cell>
          <cell r="BB118">
            <v>1</v>
          </cell>
          <cell r="BC118">
            <v>1</v>
          </cell>
          <cell r="BO118" t="str">
            <v>п01-11-011-1</v>
          </cell>
          <cell r="BZ118">
            <v>65</v>
          </cell>
          <cell r="CA118">
            <v>40</v>
          </cell>
          <cell r="DD118"/>
          <cell r="DE118"/>
          <cell r="DF118"/>
          <cell r="DG118"/>
          <cell r="DY118">
            <v>16.21632</v>
          </cell>
          <cell r="EC118">
            <v>16.21632</v>
          </cell>
          <cell r="ED118">
            <v>7.9104000000000001</v>
          </cell>
          <cell r="EO118"/>
          <cell r="HA118">
            <v>0</v>
          </cell>
          <cell r="HB118">
            <v>0</v>
          </cell>
        </row>
        <row r="119">
          <cell r="E119" t="str">
            <v>20</v>
          </cell>
          <cell r="F119" t="str">
            <v>п01-11-012-1</v>
          </cell>
          <cell r="G119" t="str">
            <v>Определение удельного сопротивления грунта</v>
          </cell>
          <cell r="H119" t="str">
            <v>измерение</v>
          </cell>
          <cell r="I119">
            <v>1</v>
          </cell>
          <cell r="O119">
            <v>49.44</v>
          </cell>
          <cell r="S119">
            <v>49.44</v>
          </cell>
          <cell r="U119">
            <v>4</v>
          </cell>
          <cell r="X119">
            <v>32.14</v>
          </cell>
          <cell r="Y119">
            <v>19.78</v>
          </cell>
          <cell r="AB119">
            <v>49.44</v>
          </cell>
          <cell r="AD119">
            <v>0</v>
          </cell>
          <cell r="AE119">
            <v>0</v>
          </cell>
          <cell r="AF119">
            <v>49.44</v>
          </cell>
          <cell r="AH119">
            <v>4</v>
          </cell>
          <cell r="AK119">
            <v>49.44</v>
          </cell>
          <cell r="AN119">
            <v>0</v>
          </cell>
          <cell r="AO119">
            <v>49.44</v>
          </cell>
          <cell r="AT119">
            <v>65</v>
          </cell>
          <cell r="AU119">
            <v>40</v>
          </cell>
          <cell r="BA119">
            <v>1</v>
          </cell>
          <cell r="BB119">
            <v>1</v>
          </cell>
          <cell r="BC119">
            <v>1</v>
          </cell>
          <cell r="BO119" t="str">
            <v>п01-11-012-1</v>
          </cell>
          <cell r="BZ119">
            <v>65</v>
          </cell>
          <cell r="CA119">
            <v>40</v>
          </cell>
          <cell r="DD119"/>
          <cell r="DE119"/>
          <cell r="DF119"/>
          <cell r="DG119"/>
          <cell r="DY119">
            <v>101.35199999999999</v>
          </cell>
          <cell r="EC119">
            <v>101.35199999999999</v>
          </cell>
          <cell r="ED119">
            <v>49.44</v>
          </cell>
          <cell r="EO119"/>
          <cell r="HA119">
            <v>0</v>
          </cell>
          <cell r="HB119">
            <v>0</v>
          </cell>
        </row>
        <row r="120">
          <cell r="E120" t="str">
            <v>21</v>
          </cell>
          <cell r="F120" t="str">
            <v>п01-12-027-1</v>
          </cell>
          <cell r="G120" t="str">
            <v>Испытание кабеля силового длиной до 500 м напряжением до 10 кВ</v>
          </cell>
          <cell r="H120" t="str">
            <v>1 испытание</v>
          </cell>
          <cell r="I120">
            <v>1</v>
          </cell>
          <cell r="O120">
            <v>53.79</v>
          </cell>
          <cell r="S120">
            <v>53.79</v>
          </cell>
          <cell r="U120">
            <v>4.8600000000000003</v>
          </cell>
          <cell r="X120">
            <v>34.96</v>
          </cell>
          <cell r="Y120">
            <v>21.52</v>
          </cell>
          <cell r="AB120">
            <v>53.79</v>
          </cell>
          <cell r="AD120">
            <v>0</v>
          </cell>
          <cell r="AE120">
            <v>0</v>
          </cell>
          <cell r="AF120">
            <v>53.79</v>
          </cell>
          <cell r="AH120">
            <v>4.8600000000000003</v>
          </cell>
          <cell r="AK120">
            <v>53.79</v>
          </cell>
          <cell r="AN120">
            <v>0</v>
          </cell>
          <cell r="AO120">
            <v>53.79</v>
          </cell>
          <cell r="AT120">
            <v>65</v>
          </cell>
          <cell r="AU120">
            <v>40</v>
          </cell>
          <cell r="BA120">
            <v>1</v>
          </cell>
          <cell r="BB120">
            <v>1</v>
          </cell>
          <cell r="BC120">
            <v>1</v>
          </cell>
          <cell r="BO120" t="str">
            <v>п01-12-027-1</v>
          </cell>
          <cell r="BZ120">
            <v>65</v>
          </cell>
          <cell r="CA120">
            <v>40</v>
          </cell>
          <cell r="DD120"/>
          <cell r="DE120"/>
          <cell r="DF120"/>
          <cell r="DG120"/>
          <cell r="DY120">
            <v>110.26949999999999</v>
          </cell>
          <cell r="EC120">
            <v>110.26949999999999</v>
          </cell>
          <cell r="ED120">
            <v>53.79</v>
          </cell>
          <cell r="EO120"/>
          <cell r="HA120">
            <v>0</v>
          </cell>
          <cell r="HB120">
            <v>0</v>
          </cell>
        </row>
        <row r="124">
          <cell r="F124">
            <v>111.14</v>
          </cell>
          <cell r="H124" t="str">
            <v>Прямые затраты</v>
          </cell>
        </row>
        <row r="137">
          <cell r="F137">
            <v>111.14</v>
          </cell>
          <cell r="H137" t="str">
            <v>Основная ЗП рабочих</v>
          </cell>
        </row>
        <row r="141">
          <cell r="F141">
            <v>227.84</v>
          </cell>
          <cell r="H141" t="str">
            <v>Прочие работы с НР и СП</v>
          </cell>
        </row>
        <row r="144">
          <cell r="F144">
            <v>9.5</v>
          </cell>
          <cell r="H144" t="str">
            <v>Трудозатраты строителей</v>
          </cell>
        </row>
        <row r="147">
          <cell r="F147">
            <v>72.239999999999995</v>
          </cell>
          <cell r="H147" t="str">
            <v>Накладные расходы</v>
          </cell>
        </row>
        <row r="148">
          <cell r="F148">
            <v>44.46</v>
          </cell>
          <cell r="H148" t="str">
            <v>Сметная прибыль</v>
          </cell>
        </row>
        <row r="149">
          <cell r="F149">
            <v>227.84</v>
          </cell>
          <cell r="H149" t="str">
            <v>Всего с НР и СП</v>
          </cell>
        </row>
        <row r="150">
          <cell r="F150">
            <v>227.84</v>
          </cell>
          <cell r="H150" t="str">
            <v>Итого</v>
          </cell>
        </row>
        <row r="152">
          <cell r="G152" t="str">
            <v>Проезды техники к месту производства работ и обратно</v>
          </cell>
        </row>
        <row r="154"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</row>
        <row r="156">
          <cell r="E156" t="str">
            <v>22</v>
          </cell>
          <cell r="F156" t="str">
            <v>1-2040-69</v>
          </cell>
          <cell r="G156" t="str">
            <v>Рабочий монтажник среднего разряда 4</v>
          </cell>
          <cell r="H156" t="str">
            <v>чел.-ч</v>
          </cell>
          <cell r="I156">
            <v>5</v>
          </cell>
          <cell r="O156">
            <v>46.45</v>
          </cell>
          <cell r="S156">
            <v>46.45</v>
          </cell>
          <cell r="U156">
            <v>0</v>
          </cell>
          <cell r="X156">
            <v>44.13</v>
          </cell>
          <cell r="Y156">
            <v>30.19</v>
          </cell>
          <cell r="AB156">
            <v>9.2899999999999991</v>
          </cell>
          <cell r="AD156">
            <v>0</v>
          </cell>
          <cell r="AE156">
            <v>0</v>
          </cell>
          <cell r="AF156">
            <v>9.2899999999999991</v>
          </cell>
          <cell r="AH156">
            <v>0</v>
          </cell>
          <cell r="AK156">
            <v>9.2899999999999991</v>
          </cell>
          <cell r="AN156">
            <v>0</v>
          </cell>
          <cell r="AO156">
            <v>9.2899999999999991</v>
          </cell>
          <cell r="AT156">
            <v>95</v>
          </cell>
          <cell r="AU156">
            <v>65</v>
          </cell>
          <cell r="BA156">
            <v>1</v>
          </cell>
          <cell r="BB156">
            <v>1</v>
          </cell>
          <cell r="BO156"/>
          <cell r="BZ156">
            <v>95</v>
          </cell>
          <cell r="CA156">
            <v>65</v>
          </cell>
          <cell r="DD156"/>
          <cell r="DE156"/>
          <cell r="DF156"/>
          <cell r="DG156"/>
          <cell r="DY156">
            <v>120.76999999999998</v>
          </cell>
          <cell r="EA156">
            <v>120.76999999999998</v>
          </cell>
          <cell r="ED156">
            <v>46.449999999999996</v>
          </cell>
          <cell r="EO156"/>
          <cell r="HA156">
            <v>0</v>
          </cell>
          <cell r="HB156">
            <v>0</v>
          </cell>
        </row>
        <row r="157">
          <cell r="E157" t="str">
            <v>23</v>
          </cell>
          <cell r="F157" t="str">
            <v>160402</v>
          </cell>
          <cell r="G157" t="str">
            <v>Машины бурильно-крановые на автомобиле, глубина бурения 3,5 м</v>
          </cell>
          <cell r="H157" t="str">
            <v>маш.-ч</v>
          </cell>
          <cell r="I157">
            <v>1</v>
          </cell>
          <cell r="O157">
            <v>798.69</v>
          </cell>
          <cell r="Q157">
            <v>798.69</v>
          </cell>
          <cell r="R157">
            <v>179.49</v>
          </cell>
          <cell r="U157">
            <v>0</v>
          </cell>
          <cell r="X157">
            <v>0</v>
          </cell>
          <cell r="Y157">
            <v>0</v>
          </cell>
          <cell r="AB157">
            <v>165.36</v>
          </cell>
          <cell r="AD157">
            <v>165.36</v>
          </cell>
          <cell r="AE157">
            <v>11.19</v>
          </cell>
          <cell r="AF157">
            <v>0</v>
          </cell>
          <cell r="AH157">
            <v>0</v>
          </cell>
          <cell r="AK157">
            <v>165.36</v>
          </cell>
          <cell r="AN157">
            <v>11.19</v>
          </cell>
          <cell r="AO157">
            <v>0</v>
          </cell>
          <cell r="AT157">
            <v>0</v>
          </cell>
          <cell r="AU157">
            <v>0</v>
          </cell>
          <cell r="BA157">
            <v>1</v>
          </cell>
          <cell r="BO157" t="str">
            <v>160402</v>
          </cell>
          <cell r="BZ157">
            <v>0</v>
          </cell>
          <cell r="CA157">
            <v>0</v>
          </cell>
          <cell r="DD157"/>
          <cell r="DE157"/>
          <cell r="DF157"/>
          <cell r="DG157"/>
          <cell r="DY157">
            <v>165.36</v>
          </cell>
          <cell r="DZ157">
            <v>165.36</v>
          </cell>
          <cell r="ED157">
            <v>0</v>
          </cell>
          <cell r="EO157"/>
          <cell r="HA157">
            <v>0</v>
          </cell>
          <cell r="HB157">
            <v>0</v>
          </cell>
        </row>
        <row r="158">
          <cell r="E158" t="str">
            <v>24</v>
          </cell>
          <cell r="F158" t="str">
            <v>021101</v>
          </cell>
          <cell r="G158" t="str">
            <v>Краны на автомобильном ходу при работе на монтаже технологического оборудования 6,3 т</v>
          </cell>
          <cell r="H158" t="str">
            <v>маш.-ч</v>
          </cell>
          <cell r="I158">
            <v>1</v>
          </cell>
          <cell r="O158">
            <v>653.08000000000004</v>
          </cell>
          <cell r="Q158">
            <v>653.08000000000004</v>
          </cell>
          <cell r="R158">
            <v>179.49</v>
          </cell>
          <cell r="U158">
            <v>0</v>
          </cell>
          <cell r="X158">
            <v>0</v>
          </cell>
          <cell r="Y158">
            <v>0</v>
          </cell>
          <cell r="AB158">
            <v>120.94</v>
          </cell>
          <cell r="AD158">
            <v>120.94</v>
          </cell>
          <cell r="AE158">
            <v>11.19</v>
          </cell>
          <cell r="AF158">
            <v>0</v>
          </cell>
          <cell r="AH158">
            <v>0</v>
          </cell>
          <cell r="AK158">
            <v>120.94</v>
          </cell>
          <cell r="AN158">
            <v>11.19</v>
          </cell>
          <cell r="AO158">
            <v>0</v>
          </cell>
          <cell r="AT158">
            <v>0</v>
          </cell>
          <cell r="AU158">
            <v>0</v>
          </cell>
          <cell r="BA158">
            <v>1</v>
          </cell>
          <cell r="BO158" t="str">
            <v>021101</v>
          </cell>
          <cell r="BZ158">
            <v>0</v>
          </cell>
          <cell r="CA158">
            <v>0</v>
          </cell>
          <cell r="DD158"/>
          <cell r="DE158"/>
          <cell r="DF158"/>
          <cell r="DG158"/>
          <cell r="DY158">
            <v>120.94</v>
          </cell>
          <cell r="DZ158">
            <v>120.94</v>
          </cell>
          <cell r="ED158">
            <v>0</v>
          </cell>
          <cell r="EO158"/>
          <cell r="HA158">
            <v>0</v>
          </cell>
          <cell r="HB158">
            <v>0</v>
          </cell>
        </row>
        <row r="159">
          <cell r="E159" t="str">
            <v>25</v>
          </cell>
          <cell r="F159" t="str">
            <v>400001</v>
          </cell>
          <cell r="G159" t="str">
            <v>Автомобили бортовые, грузоподъемность до 5 т</v>
          </cell>
          <cell r="H159" t="str">
            <v>маш.-ч</v>
          </cell>
          <cell r="I159">
            <v>1</v>
          </cell>
          <cell r="O159">
            <v>738.46</v>
          </cell>
          <cell r="Q159">
            <v>738.46</v>
          </cell>
          <cell r="R159">
            <v>179.49</v>
          </cell>
          <cell r="U159">
            <v>0</v>
          </cell>
          <cell r="X159">
            <v>0</v>
          </cell>
          <cell r="Y159">
            <v>0</v>
          </cell>
          <cell r="AB159">
            <v>91.62</v>
          </cell>
          <cell r="AD159">
            <v>91.62</v>
          </cell>
          <cell r="AE159">
            <v>11.19</v>
          </cell>
          <cell r="AF159">
            <v>0</v>
          </cell>
          <cell r="AH159">
            <v>0</v>
          </cell>
          <cell r="AK159">
            <v>91.62</v>
          </cell>
          <cell r="AN159">
            <v>11.19</v>
          </cell>
          <cell r="AO159">
            <v>0</v>
          </cell>
          <cell r="AT159">
            <v>0</v>
          </cell>
          <cell r="AU159">
            <v>0</v>
          </cell>
          <cell r="BA159">
            <v>1</v>
          </cell>
          <cell r="BO159" t="str">
            <v>400001</v>
          </cell>
          <cell r="BZ159">
            <v>0</v>
          </cell>
          <cell r="CA159">
            <v>0</v>
          </cell>
          <cell r="DD159"/>
          <cell r="DE159"/>
          <cell r="DF159"/>
          <cell r="DG159"/>
          <cell r="DY159">
            <v>91.62</v>
          </cell>
          <cell r="DZ159">
            <v>91.62</v>
          </cell>
          <cell r="ED159">
            <v>0</v>
          </cell>
          <cell r="EO159"/>
          <cell r="HA159">
            <v>0</v>
          </cell>
          <cell r="HB159">
            <v>0</v>
          </cell>
        </row>
        <row r="160">
          <cell r="E160" t="str">
            <v>26</v>
          </cell>
          <cell r="F160" t="str">
            <v>400302</v>
          </cell>
          <cell r="G160" t="str">
            <v>Спецавтомашины типа УАЗ</v>
          </cell>
          <cell r="H160" t="str">
            <v>маш.-ч</v>
          </cell>
          <cell r="I160">
            <v>1</v>
          </cell>
          <cell r="O160">
            <v>113.15</v>
          </cell>
          <cell r="Q160">
            <v>113.15</v>
          </cell>
          <cell r="R160">
            <v>11.19</v>
          </cell>
          <cell r="U160">
            <v>0</v>
          </cell>
          <cell r="X160">
            <v>0</v>
          </cell>
          <cell r="Y160">
            <v>0</v>
          </cell>
          <cell r="AB160">
            <v>113.15</v>
          </cell>
          <cell r="AD160">
            <v>113.15</v>
          </cell>
          <cell r="AE160">
            <v>11.19</v>
          </cell>
          <cell r="AF160">
            <v>0</v>
          </cell>
          <cell r="AH160">
            <v>0</v>
          </cell>
          <cell r="AK160">
            <v>113.15</v>
          </cell>
          <cell r="AN160">
            <v>11.19</v>
          </cell>
          <cell r="AO160">
            <v>0</v>
          </cell>
          <cell r="AT160">
            <v>0</v>
          </cell>
          <cell r="AU160">
            <v>0</v>
          </cell>
          <cell r="BA160">
            <v>1</v>
          </cell>
          <cell r="BB160">
            <v>1</v>
          </cell>
          <cell r="BO160"/>
          <cell r="BS160">
            <v>1</v>
          </cell>
          <cell r="BZ160">
            <v>0</v>
          </cell>
          <cell r="CA160">
            <v>0</v>
          </cell>
          <cell r="DD160"/>
          <cell r="DE160"/>
          <cell r="DF160"/>
          <cell r="DG160"/>
          <cell r="DY160">
            <v>113.15</v>
          </cell>
          <cell r="DZ160">
            <v>113.15</v>
          </cell>
          <cell r="ED160">
            <v>0</v>
          </cell>
          <cell r="EO160"/>
          <cell r="HA160">
            <v>0</v>
          </cell>
          <cell r="HB160">
            <v>0</v>
          </cell>
        </row>
        <row r="164">
          <cell r="F164">
            <v>2349.83</v>
          </cell>
          <cell r="H164" t="str">
            <v>Прямые затраты</v>
          </cell>
        </row>
        <row r="174">
          <cell r="F174">
            <v>2303.38</v>
          </cell>
          <cell r="H174" t="str">
            <v>Эксплуатация машин</v>
          </cell>
        </row>
        <row r="176">
          <cell r="F176">
            <v>549.66</v>
          </cell>
          <cell r="H176" t="str">
            <v>ЗП машинистов</v>
          </cell>
        </row>
        <row r="177">
          <cell r="F177">
            <v>46.45</v>
          </cell>
          <cell r="H177" t="str">
            <v>Основная ЗП рабочих</v>
          </cell>
        </row>
        <row r="179">
          <cell r="F179">
            <v>2303.38</v>
          </cell>
          <cell r="H179" t="str">
            <v>Строительные работы с НР и СП</v>
          </cell>
        </row>
        <row r="180">
          <cell r="F180">
            <v>120.77</v>
          </cell>
          <cell r="H180" t="str">
            <v>Монтажные работы с НР и СП</v>
          </cell>
        </row>
        <row r="187">
          <cell r="F187">
            <v>44.13</v>
          </cell>
          <cell r="H187" t="str">
            <v>Накладные расходы</v>
          </cell>
        </row>
        <row r="188">
          <cell r="F188">
            <v>30.19</v>
          </cell>
          <cell r="H188" t="str">
            <v>Сметная прибыль</v>
          </cell>
        </row>
        <row r="189">
          <cell r="F189">
            <v>2424.15</v>
          </cell>
          <cell r="H189" t="str">
            <v>Всего с НР и СП</v>
          </cell>
        </row>
        <row r="190">
          <cell r="F190">
            <v>2424.15</v>
          </cell>
          <cell r="H190" t="str">
            <v>Итого</v>
          </cell>
        </row>
        <row r="194">
          <cell r="F194">
            <v>510573.26</v>
          </cell>
          <cell r="H194" t="str">
            <v>Прямые затраты</v>
          </cell>
        </row>
        <row r="195">
          <cell r="F195">
            <v>175117.09</v>
          </cell>
          <cell r="H195" t="str">
            <v>Стоимость материальных ресурсов (всего)</v>
          </cell>
        </row>
        <row r="201">
          <cell r="F201">
            <v>0</v>
          </cell>
        </row>
        <row r="204">
          <cell r="F204">
            <v>332984.31</v>
          </cell>
          <cell r="H204" t="str">
            <v>Эксплуатация машин</v>
          </cell>
        </row>
        <row r="206">
          <cell r="F206">
            <v>16351.25</v>
          </cell>
          <cell r="H206" t="str">
            <v>ЗП машинистов</v>
          </cell>
        </row>
        <row r="207">
          <cell r="F207">
            <v>2471.86</v>
          </cell>
          <cell r="H207" t="str">
            <v>Основная ЗП рабочих</v>
          </cell>
        </row>
        <row r="209">
          <cell r="F209">
            <v>532435.79</v>
          </cell>
          <cell r="H209" t="str">
            <v>Строительные работы с НР и СП</v>
          </cell>
        </row>
        <row r="210">
          <cell r="F210">
            <v>3203.38</v>
          </cell>
          <cell r="H210" t="str">
            <v>Монтажные работы с НР и СП</v>
          </cell>
        </row>
        <row r="211">
          <cell r="F211">
            <v>227.84</v>
          </cell>
          <cell r="H211" t="str">
            <v>Прочие работы с НР и СП</v>
          </cell>
        </row>
        <row r="214">
          <cell r="F214">
            <v>263.18</v>
          </cell>
          <cell r="H214" t="str">
            <v>Трудозатраты строителей</v>
          </cell>
        </row>
        <row r="215">
          <cell r="F215">
            <v>1346.27</v>
          </cell>
          <cell r="H215" t="str">
            <v>Трудозатраты машинистов</v>
          </cell>
        </row>
        <row r="217">
          <cell r="F217">
            <v>15659.22</v>
          </cell>
          <cell r="H217" t="str">
            <v>Накладные расходы</v>
          </cell>
        </row>
        <row r="218">
          <cell r="F218">
            <v>9634.5300000000007</v>
          </cell>
          <cell r="H218" t="str">
            <v>Сметная прибыль</v>
          </cell>
        </row>
        <row r="219">
          <cell r="F219">
            <v>535867.01</v>
          </cell>
          <cell r="H219" t="str">
            <v>Всего с НР и СП</v>
          </cell>
        </row>
        <row r="220">
          <cell r="F220">
            <v>535867.01</v>
          </cell>
          <cell r="H220" t="str">
            <v>Итого</v>
          </cell>
        </row>
        <row r="221">
          <cell r="F221">
            <v>0</v>
          </cell>
          <cell r="H221" t="str">
            <v>ТЗР 6,5%</v>
          </cell>
        </row>
        <row r="222">
          <cell r="F222">
            <v>0</v>
          </cell>
          <cell r="H222" t="str">
            <v>ТЗР 11%</v>
          </cell>
        </row>
        <row r="223">
          <cell r="F223">
            <v>535867.01</v>
          </cell>
          <cell r="H223" t="str">
            <v>Всего</v>
          </cell>
        </row>
      </sheetData>
      <sheetData sheetId="3" refreshError="1"/>
      <sheetData sheetId="4">
        <row r="1">
          <cell r="H1">
            <v>1</v>
          </cell>
          <cell r="I1" t="str">
            <v>1-1025-69</v>
          </cell>
          <cell r="K1" t="str">
            <v>Рабочий строитель среднего разряда 2,5</v>
          </cell>
          <cell r="O1" t="str">
            <v>чел.-ч</v>
          </cell>
          <cell r="Y1">
            <v>0.44</v>
          </cell>
          <cell r="AA1">
            <v>0</v>
          </cell>
          <cell r="AB1">
            <v>0</v>
          </cell>
          <cell r="AD1">
            <v>7.88</v>
          </cell>
          <cell r="AE1">
            <v>0</v>
          </cell>
          <cell r="AF1">
            <v>0</v>
          </cell>
          <cell r="AH1">
            <v>7.88</v>
          </cell>
          <cell r="AU1"/>
        </row>
        <row r="2">
          <cell r="H2">
            <v>1</v>
          </cell>
          <cell r="I2" t="str">
            <v>2</v>
          </cell>
          <cell r="K2" t="str">
            <v>Затраты труда машинистов</v>
          </cell>
          <cell r="O2" t="str">
            <v>чел.час</v>
          </cell>
          <cell r="Y2">
            <v>0.48</v>
          </cell>
          <cell r="AA2">
            <v>0</v>
          </cell>
          <cell r="AB2">
            <v>0</v>
          </cell>
          <cell r="AD2">
            <v>0</v>
          </cell>
          <cell r="AE2">
            <v>0</v>
          </cell>
          <cell r="AF2">
            <v>0</v>
          </cell>
          <cell r="AH2">
            <v>0</v>
          </cell>
          <cell r="AU2"/>
        </row>
        <row r="3">
          <cell r="H3">
            <v>2</v>
          </cell>
          <cell r="I3" t="str">
            <v>010201</v>
          </cell>
          <cell r="K3" t="str">
            <v>Прицепы тракторные 2 т</v>
          </cell>
          <cell r="O3" t="str">
            <v>маш.-ч</v>
          </cell>
          <cell r="Y3">
            <v>0.24</v>
          </cell>
          <cell r="AA3">
            <v>0</v>
          </cell>
          <cell r="AB3">
            <v>17.64</v>
          </cell>
          <cell r="AD3">
            <v>0</v>
          </cell>
          <cell r="AE3">
            <v>0</v>
          </cell>
          <cell r="AF3">
            <v>4.01</v>
          </cell>
          <cell r="AH3">
            <v>0</v>
          </cell>
          <cell r="AU3"/>
        </row>
        <row r="4">
          <cell r="H4">
            <v>2</v>
          </cell>
          <cell r="I4" t="str">
            <v>010410</v>
          </cell>
          <cell r="K4" t="str">
            <v>Тракторы на пневмоколесном ходу при работе на других видах строительства 59 кВт (80 л.с.)</v>
          </cell>
          <cell r="O4" t="str">
            <v>маш.-ч</v>
          </cell>
          <cell r="Y4">
            <v>0.24</v>
          </cell>
          <cell r="AA4">
            <v>0</v>
          </cell>
          <cell r="AB4">
            <v>625.98</v>
          </cell>
          <cell r="AD4">
            <v>0</v>
          </cell>
          <cell r="AE4">
            <v>0</v>
          </cell>
          <cell r="AF4">
            <v>71.540000000000006</v>
          </cell>
          <cell r="AH4">
            <v>0</v>
          </cell>
          <cell r="AU4"/>
        </row>
        <row r="5">
          <cell r="H5">
            <v>2</v>
          </cell>
          <cell r="I5" t="str">
            <v>021141</v>
          </cell>
          <cell r="K5" t="str">
            <v>Краны на автомобильном ходу при работе на других видах строительства 10 т</v>
          </cell>
          <cell r="O5" t="str">
            <v>маш.-ч</v>
          </cell>
          <cell r="Y5">
            <v>0.24</v>
          </cell>
          <cell r="AA5">
            <v>0</v>
          </cell>
          <cell r="AB5">
            <v>627.92999999999995</v>
          </cell>
          <cell r="AD5">
            <v>0</v>
          </cell>
          <cell r="AE5">
            <v>0</v>
          </cell>
          <cell r="AF5">
            <v>108.45</v>
          </cell>
          <cell r="AH5">
            <v>0</v>
          </cell>
          <cell r="AU5"/>
        </row>
        <row r="6">
          <cell r="H6">
            <v>1</v>
          </cell>
          <cell r="I6" t="str">
            <v>1-1025-69</v>
          </cell>
          <cell r="K6" t="str">
            <v>Рабочий строитель среднего разряда 2,5</v>
          </cell>
          <cell r="O6" t="str">
            <v>чел.-ч</v>
          </cell>
          <cell r="Y6">
            <v>0.25</v>
          </cell>
          <cell r="AA6">
            <v>0</v>
          </cell>
          <cell r="AB6">
            <v>0</v>
          </cell>
          <cell r="AD6">
            <v>7.88</v>
          </cell>
          <cell r="AE6">
            <v>0</v>
          </cell>
          <cell r="AF6">
            <v>0</v>
          </cell>
          <cell r="AH6">
            <v>7.88</v>
          </cell>
          <cell r="AU6"/>
        </row>
        <row r="7">
          <cell r="H7">
            <v>1</v>
          </cell>
          <cell r="I7" t="str">
            <v>2</v>
          </cell>
          <cell r="K7" t="str">
            <v>Затраты труда машинистов</v>
          </cell>
          <cell r="O7" t="str">
            <v>чел.час</v>
          </cell>
          <cell r="Y7">
            <v>0.14000000000000001</v>
          </cell>
          <cell r="AA7">
            <v>0</v>
          </cell>
          <cell r="AB7">
            <v>0</v>
          </cell>
          <cell r="AD7">
            <v>0</v>
          </cell>
          <cell r="AE7">
            <v>0</v>
          </cell>
          <cell r="AF7">
            <v>0</v>
          </cell>
          <cell r="AH7">
            <v>0</v>
          </cell>
          <cell r="AU7"/>
        </row>
        <row r="8">
          <cell r="H8">
            <v>2</v>
          </cell>
          <cell r="I8" t="str">
            <v>010201</v>
          </cell>
          <cell r="K8" t="str">
            <v>Прицепы тракторные 2 т</v>
          </cell>
          <cell r="O8" t="str">
            <v>маш.-ч</v>
          </cell>
          <cell r="Y8">
            <v>0.14000000000000001</v>
          </cell>
          <cell r="AA8">
            <v>0</v>
          </cell>
          <cell r="AB8">
            <v>17.64</v>
          </cell>
          <cell r="AD8">
            <v>0</v>
          </cell>
          <cell r="AE8">
            <v>0</v>
          </cell>
          <cell r="AF8">
            <v>4.01</v>
          </cell>
          <cell r="AH8">
            <v>0</v>
          </cell>
          <cell r="AU8"/>
        </row>
        <row r="9">
          <cell r="H9">
            <v>2</v>
          </cell>
          <cell r="I9" t="str">
            <v>010410</v>
          </cell>
          <cell r="K9" t="str">
            <v>Тракторы на пневмоколесном ходу при работе на других видах строительства 59 кВт (80 л.с.)</v>
          </cell>
          <cell r="O9" t="str">
            <v>маш.-ч</v>
          </cell>
          <cell r="Y9">
            <v>0.14000000000000001</v>
          </cell>
          <cell r="AA9">
            <v>0</v>
          </cell>
          <cell r="AB9">
            <v>625.98</v>
          </cell>
          <cell r="AD9">
            <v>0</v>
          </cell>
          <cell r="AE9">
            <v>0</v>
          </cell>
          <cell r="AF9">
            <v>71.540000000000006</v>
          </cell>
          <cell r="AH9">
            <v>0</v>
          </cell>
          <cell r="AU9"/>
        </row>
        <row r="10">
          <cell r="H10">
            <v>1</v>
          </cell>
          <cell r="I10" t="str">
            <v>1-1033-69</v>
          </cell>
          <cell r="K10" t="str">
            <v>Рабочий строитель среднего разряда 3,3</v>
          </cell>
          <cell r="O10" t="str">
            <v>чел.-ч</v>
          </cell>
          <cell r="Y10">
            <v>3.8</v>
          </cell>
          <cell r="AA10">
            <v>0</v>
          </cell>
          <cell r="AB10">
            <v>0</v>
          </cell>
          <cell r="AD10">
            <v>8.5500000000000007</v>
          </cell>
          <cell r="AE10">
            <v>0</v>
          </cell>
          <cell r="AF10">
            <v>0</v>
          </cell>
          <cell r="AH10">
            <v>8.5500000000000007</v>
          </cell>
          <cell r="AU10"/>
        </row>
        <row r="11">
          <cell r="H11">
            <v>1</v>
          </cell>
          <cell r="I11" t="str">
            <v>2</v>
          </cell>
          <cell r="K11" t="str">
            <v>Затраты труда машинистов</v>
          </cell>
          <cell r="O11" t="str">
            <v>чел.-ч</v>
          </cell>
          <cell r="Y11">
            <v>0.78</v>
          </cell>
          <cell r="AA11">
            <v>0</v>
          </cell>
          <cell r="AB11">
            <v>0</v>
          </cell>
          <cell r="AD11">
            <v>0</v>
          </cell>
          <cell r="AE11">
            <v>0</v>
          </cell>
          <cell r="AF11">
            <v>0</v>
          </cell>
          <cell r="AH11">
            <v>0</v>
          </cell>
          <cell r="AU11"/>
        </row>
        <row r="12">
          <cell r="H12">
            <v>2</v>
          </cell>
          <cell r="I12" t="str">
            <v>160402</v>
          </cell>
          <cell r="K12" t="str">
            <v>Машины бурильно-крановые: на автомобиле, глубина бурения 3,5 м</v>
          </cell>
          <cell r="O12" t="str">
            <v>маш.-ч</v>
          </cell>
          <cell r="Y12">
            <v>0.78</v>
          </cell>
          <cell r="AA12">
            <v>0</v>
          </cell>
          <cell r="AB12">
            <v>798.69</v>
          </cell>
          <cell r="AD12">
            <v>0</v>
          </cell>
          <cell r="AE12">
            <v>0</v>
          </cell>
          <cell r="AF12">
            <v>165.36</v>
          </cell>
          <cell r="AH12">
            <v>0</v>
          </cell>
          <cell r="AU12"/>
        </row>
        <row r="13">
          <cell r="H13">
            <v>2</v>
          </cell>
          <cell r="I13" t="str">
            <v>400001</v>
          </cell>
          <cell r="K13" t="str">
            <v>Автомобили бортовые, грузоподъемность: до 5 т</v>
          </cell>
          <cell r="O13" t="str">
            <v>маш.-ч</v>
          </cell>
          <cell r="Y13">
            <v>0.19</v>
          </cell>
          <cell r="AA13">
            <v>0</v>
          </cell>
          <cell r="AB13">
            <v>738.46</v>
          </cell>
          <cell r="AD13">
            <v>0</v>
          </cell>
          <cell r="AE13">
            <v>0</v>
          </cell>
          <cell r="AF13">
            <v>91.62</v>
          </cell>
          <cell r="AH13">
            <v>0</v>
          </cell>
          <cell r="AU13"/>
        </row>
        <row r="14">
          <cell r="H14">
            <v>3</v>
          </cell>
          <cell r="I14" t="str">
            <v>101-0404</v>
          </cell>
          <cell r="K14" t="str">
            <v>Краска для наружных работ черная, марок МА-015, ПФ-014</v>
          </cell>
          <cell r="O14" t="str">
            <v>т</v>
          </cell>
          <cell r="Y14">
            <v>4.0000000000000002E-4</v>
          </cell>
          <cell r="AE14">
            <v>14679</v>
          </cell>
          <cell r="AF14">
            <v>0</v>
          </cell>
          <cell r="AH14">
            <v>0</v>
          </cell>
          <cell r="AU14"/>
        </row>
        <row r="15">
          <cell r="H15">
            <v>3</v>
          </cell>
          <cell r="I15" t="str">
            <v>101-0962</v>
          </cell>
          <cell r="K15" t="str">
            <v>Смазка солидол жировой марки «Ж»</v>
          </cell>
          <cell r="O15" t="str">
            <v>т</v>
          </cell>
          <cell r="Y15">
            <v>3.0000000000000001E-5</v>
          </cell>
          <cell r="AE15">
            <v>9661.5</v>
          </cell>
          <cell r="AF15">
            <v>0</v>
          </cell>
          <cell r="AH15">
            <v>0</v>
          </cell>
          <cell r="AU15"/>
        </row>
        <row r="17">
          <cell r="H17">
            <v>3</v>
          </cell>
          <cell r="I17" t="str">
            <v>101-1757</v>
          </cell>
          <cell r="K17" t="str">
            <v>Ветошь</v>
          </cell>
          <cell r="O17" t="str">
            <v>кг</v>
          </cell>
          <cell r="Y17">
            <v>0.02</v>
          </cell>
          <cell r="AE17">
            <v>1.94</v>
          </cell>
          <cell r="AF17">
            <v>0</v>
          </cell>
          <cell r="AH17">
            <v>0</v>
          </cell>
          <cell r="AU17"/>
        </row>
        <row r="18">
          <cell r="H18">
            <v>3</v>
          </cell>
          <cell r="I18" t="str">
            <v>101-2349</v>
          </cell>
          <cell r="K18" t="str">
            <v>Смазка ЗЭС</v>
          </cell>
          <cell r="O18" t="str">
            <v>кг</v>
          </cell>
          <cell r="Y18">
            <v>0.1</v>
          </cell>
          <cell r="AE18">
            <v>11</v>
          </cell>
          <cell r="AF18">
            <v>0</v>
          </cell>
          <cell r="AH18">
            <v>0</v>
          </cell>
          <cell r="AU18"/>
        </row>
        <row r="22">
          <cell r="H22">
            <v>3</v>
          </cell>
          <cell r="I22" t="str">
            <v>110-9126</v>
          </cell>
          <cell r="K22" t="str">
            <v>Металлические плакаты</v>
          </cell>
          <cell r="O22" t="str">
            <v>шт.</v>
          </cell>
          <cell r="Y22">
            <v>0.1</v>
          </cell>
          <cell r="AE22">
            <v>0</v>
          </cell>
          <cell r="AF22">
            <v>0</v>
          </cell>
          <cell r="AH22">
            <v>0</v>
          </cell>
          <cell r="AU22"/>
        </row>
        <row r="23">
          <cell r="H23">
            <v>3</v>
          </cell>
          <cell r="I23" t="str">
            <v>113-0079</v>
          </cell>
          <cell r="K23" t="str">
            <v>Лак БТ-577</v>
          </cell>
          <cell r="O23" t="str">
            <v>т</v>
          </cell>
          <cell r="Y23">
            <v>1E-4</v>
          </cell>
          <cell r="AE23">
            <v>10324.469999999999</v>
          </cell>
          <cell r="AF23">
            <v>0</v>
          </cell>
          <cell r="AH23">
            <v>0</v>
          </cell>
          <cell r="AU23"/>
        </row>
        <row r="27">
          <cell r="H27">
            <v>3</v>
          </cell>
          <cell r="I27" t="str">
            <v>509-1073</v>
          </cell>
          <cell r="K27" t="str">
            <v>Колпачки полиэтиленовые</v>
          </cell>
          <cell r="O27" t="str">
            <v>шт.</v>
          </cell>
          <cell r="Y27">
            <v>6</v>
          </cell>
          <cell r="AE27">
            <v>6.71</v>
          </cell>
          <cell r="AF27">
            <v>0</v>
          </cell>
          <cell r="AH27">
            <v>0</v>
          </cell>
          <cell r="AU27"/>
        </row>
        <row r="28">
          <cell r="H28">
            <v>1</v>
          </cell>
          <cell r="I28" t="str">
            <v>1-2040-69</v>
          </cell>
          <cell r="K28" t="str">
            <v>Рабочий монтажник среднего разряда 4</v>
          </cell>
          <cell r="O28" t="str">
            <v>чел.-ч</v>
          </cell>
          <cell r="Y28">
            <v>47</v>
          </cell>
          <cell r="AA28">
            <v>0</v>
          </cell>
          <cell r="AB28">
            <v>0</v>
          </cell>
          <cell r="AD28">
            <v>9.2899999999999991</v>
          </cell>
          <cell r="AE28">
            <v>0</v>
          </cell>
          <cell r="AF28">
            <v>0</v>
          </cell>
          <cell r="AH28">
            <v>9.2899999999999991</v>
          </cell>
          <cell r="AU28"/>
        </row>
        <row r="29">
          <cell r="H29">
            <v>1</v>
          </cell>
          <cell r="I29" t="str">
            <v>2</v>
          </cell>
          <cell r="K29" t="str">
            <v>Затраты труда машинистов</v>
          </cell>
          <cell r="O29" t="str">
            <v>чел.час</v>
          </cell>
          <cell r="Y29">
            <v>0.11</v>
          </cell>
          <cell r="AA29">
            <v>0</v>
          </cell>
          <cell r="AB29">
            <v>0</v>
          </cell>
          <cell r="AD29">
            <v>0</v>
          </cell>
          <cell r="AE29">
            <v>0</v>
          </cell>
          <cell r="AF29">
            <v>0</v>
          </cell>
          <cell r="AH29">
            <v>0</v>
          </cell>
          <cell r="AU29"/>
        </row>
        <row r="30">
          <cell r="H30">
            <v>2</v>
          </cell>
          <cell r="I30" t="str">
            <v>021102</v>
          </cell>
          <cell r="K30" t="str">
            <v>Краны на автомобильном ходу при работе на монтаже технологического оборудования 10 т</v>
          </cell>
          <cell r="O30" t="str">
            <v>маш.-ч</v>
          </cell>
          <cell r="Y30">
            <v>0.11</v>
          </cell>
          <cell r="AA30">
            <v>0</v>
          </cell>
          <cell r="AB30">
            <v>702.75</v>
          </cell>
          <cell r="AD30">
            <v>0</v>
          </cell>
          <cell r="AE30">
            <v>0</v>
          </cell>
          <cell r="AF30">
            <v>131.11000000000001</v>
          </cell>
          <cell r="AH30">
            <v>0</v>
          </cell>
          <cell r="AU30"/>
        </row>
        <row r="31">
          <cell r="H31">
            <v>2</v>
          </cell>
          <cell r="I31" t="str">
            <v>040502</v>
          </cell>
          <cell r="K31" t="str">
            <v>Установки для сварки ручной дуговой (постоянного тока)</v>
          </cell>
          <cell r="O31" t="str">
            <v>маш.-ч</v>
          </cell>
          <cell r="Y31">
            <v>0.19</v>
          </cell>
          <cell r="AA31">
            <v>0</v>
          </cell>
          <cell r="AB31">
            <v>47.06</v>
          </cell>
          <cell r="AD31">
            <v>0</v>
          </cell>
          <cell r="AE31">
            <v>0</v>
          </cell>
          <cell r="AF31">
            <v>8.1</v>
          </cell>
          <cell r="AH31">
            <v>0</v>
          </cell>
          <cell r="AU31"/>
        </row>
        <row r="32">
          <cell r="H32">
            <v>2</v>
          </cell>
          <cell r="I32" t="str">
            <v>400002</v>
          </cell>
          <cell r="K32" t="str">
            <v>Автомобили бортовые, грузоподъемность до 8 т</v>
          </cell>
          <cell r="O32" t="str">
            <v>маш.-ч</v>
          </cell>
          <cell r="Y32">
            <v>0.11</v>
          </cell>
          <cell r="AA32">
            <v>0</v>
          </cell>
          <cell r="AB32">
            <v>884.28</v>
          </cell>
          <cell r="AD32">
            <v>0</v>
          </cell>
          <cell r="AE32">
            <v>0</v>
          </cell>
          <cell r="AF32">
            <v>109.17</v>
          </cell>
          <cell r="AH32">
            <v>0</v>
          </cell>
          <cell r="AU32"/>
        </row>
        <row r="33">
          <cell r="H33">
            <v>3</v>
          </cell>
          <cell r="I33" t="str">
            <v>101-1755</v>
          </cell>
          <cell r="K33" t="str">
            <v>Сталь полосовая, марка стали Ст3сп шириной 50-200 мм толщиной 4-5 мм</v>
          </cell>
          <cell r="O33" t="str">
            <v>т</v>
          </cell>
          <cell r="Y33">
            <v>3.0000000000000001E-3</v>
          </cell>
          <cell r="AE33">
            <v>5000</v>
          </cell>
          <cell r="AF33">
            <v>0</v>
          </cell>
          <cell r="AH33">
            <v>0</v>
          </cell>
          <cell r="AU33"/>
        </row>
        <row r="34">
          <cell r="H34">
            <v>3</v>
          </cell>
          <cell r="I34" t="str">
            <v>101-2143</v>
          </cell>
          <cell r="K34" t="str">
            <v>Краска</v>
          </cell>
          <cell r="O34" t="str">
            <v>кг</v>
          </cell>
          <cell r="Y34">
            <v>0.8</v>
          </cell>
          <cell r="AE34">
            <v>28.6</v>
          </cell>
          <cell r="AF34">
            <v>0</v>
          </cell>
          <cell r="AH34">
            <v>0</v>
          </cell>
          <cell r="AU34"/>
        </row>
        <row r="35">
          <cell r="H35">
            <v>3</v>
          </cell>
          <cell r="I35" t="str">
            <v>509-0100</v>
          </cell>
          <cell r="K35" t="str">
            <v>Зажимы наборные</v>
          </cell>
          <cell r="O35" t="str">
            <v>шт.</v>
          </cell>
          <cell r="Y35">
            <v>102</v>
          </cell>
          <cell r="AE35">
            <v>3.81</v>
          </cell>
          <cell r="AF35">
            <v>0</v>
          </cell>
          <cell r="AH35">
            <v>0</v>
          </cell>
          <cell r="AU35"/>
        </row>
        <row r="36">
          <cell r="H36">
            <v>3</v>
          </cell>
          <cell r="I36" t="str">
            <v>509-0156</v>
          </cell>
          <cell r="K36" t="str">
            <v>Оконцеватели маркировочные</v>
          </cell>
          <cell r="O36" t="str">
            <v>100 шт.</v>
          </cell>
          <cell r="Y36">
            <v>2.04</v>
          </cell>
          <cell r="AE36">
            <v>68.97</v>
          </cell>
          <cell r="AF36">
            <v>0</v>
          </cell>
          <cell r="AH36">
            <v>0</v>
          </cell>
          <cell r="AU36"/>
        </row>
        <row r="38">
          <cell r="H38">
            <v>1</v>
          </cell>
          <cell r="I38" t="str">
            <v>1-1039-69</v>
          </cell>
          <cell r="K38" t="str">
            <v>Рабочий строитель среднего разряда 3,9</v>
          </cell>
          <cell r="O38" t="str">
            <v>чел.-ч</v>
          </cell>
          <cell r="Y38">
            <v>0.36</v>
          </cell>
          <cell r="AA38">
            <v>0</v>
          </cell>
          <cell r="AB38">
            <v>0</v>
          </cell>
          <cell r="AD38">
            <v>9.18</v>
          </cell>
          <cell r="AE38">
            <v>0</v>
          </cell>
          <cell r="AF38">
            <v>0</v>
          </cell>
          <cell r="AH38">
            <v>9.18</v>
          </cell>
          <cell r="AU38"/>
        </row>
        <row r="39">
          <cell r="H39">
            <v>1</v>
          </cell>
          <cell r="I39" t="str">
            <v>2</v>
          </cell>
          <cell r="K39" t="str">
            <v>Затраты труда машинистов</v>
          </cell>
          <cell r="O39" t="str">
            <v>чел.час</v>
          </cell>
          <cell r="Y39">
            <v>3.64</v>
          </cell>
          <cell r="AA39">
            <v>0</v>
          </cell>
          <cell r="AB39">
            <v>0</v>
          </cell>
          <cell r="AD39">
            <v>0</v>
          </cell>
          <cell r="AE39">
            <v>0</v>
          </cell>
          <cell r="AF39">
            <v>0</v>
          </cell>
          <cell r="AH39">
            <v>0</v>
          </cell>
          <cell r="AU39"/>
        </row>
        <row r="40">
          <cell r="H40">
            <v>2</v>
          </cell>
          <cell r="I40" t="str">
            <v>021141</v>
          </cell>
          <cell r="K40" t="str">
            <v>Краны на автомобильном ходу при работе на других видах строительства: 10т</v>
          </cell>
          <cell r="O40" t="str">
            <v>маш.-ч</v>
          </cell>
          <cell r="Y40">
            <v>0.04</v>
          </cell>
          <cell r="AA40">
            <v>0</v>
          </cell>
          <cell r="AB40">
            <v>627.92999999999995</v>
          </cell>
          <cell r="AD40">
            <v>0</v>
          </cell>
          <cell r="AE40">
            <v>0</v>
          </cell>
          <cell r="AF40">
            <v>108.45</v>
          </cell>
          <cell r="AH40">
            <v>0</v>
          </cell>
          <cell r="AU40"/>
        </row>
        <row r="41">
          <cell r="H41">
            <v>2</v>
          </cell>
          <cell r="I41" t="str">
            <v>081600</v>
          </cell>
          <cell r="K41" t="str">
            <v>Агрегаты для сварки полиэтиленовых труб</v>
          </cell>
          <cell r="O41" t="str">
            <v>маш.-ч</v>
          </cell>
          <cell r="Y41">
            <v>0.12</v>
          </cell>
          <cell r="AA41">
            <v>0</v>
          </cell>
          <cell r="AB41">
            <v>731.32</v>
          </cell>
          <cell r="AD41">
            <v>0</v>
          </cell>
          <cell r="AE41">
            <v>0</v>
          </cell>
          <cell r="AF41">
            <v>96.1</v>
          </cell>
          <cell r="AH41">
            <v>0</v>
          </cell>
          <cell r="AU41"/>
        </row>
        <row r="42">
          <cell r="H42">
            <v>2</v>
          </cell>
          <cell r="I42" t="str">
            <v>121601</v>
          </cell>
          <cell r="K42" t="str">
            <v>Машины поливомоечные 6000 л</v>
          </cell>
          <cell r="O42" t="str">
            <v>маш.-ч</v>
          </cell>
          <cell r="Y42">
            <v>0.69</v>
          </cell>
          <cell r="AA42">
            <v>0</v>
          </cell>
          <cell r="AB42">
            <v>793.04</v>
          </cell>
          <cell r="AD42">
            <v>0</v>
          </cell>
          <cell r="AE42">
            <v>0</v>
          </cell>
          <cell r="AF42">
            <v>125.88</v>
          </cell>
          <cell r="AH42">
            <v>0</v>
          </cell>
          <cell r="AU42"/>
        </row>
        <row r="43">
          <cell r="H43">
            <v>2</v>
          </cell>
          <cell r="I43" t="str">
            <v>380601</v>
          </cell>
          <cell r="K43" t="str">
            <v>Установки направленного бурения для бестраншейной прокладки типа «Навигатор» с тяговым усилием: 40 Кн</v>
          </cell>
          <cell r="O43" t="str">
            <v>маш.-ч</v>
          </cell>
          <cell r="Y43">
            <v>0.93</v>
          </cell>
          <cell r="AA43">
            <v>0</v>
          </cell>
          <cell r="AB43">
            <v>3367.24</v>
          </cell>
          <cell r="AD43">
            <v>0</v>
          </cell>
          <cell r="AE43">
            <v>0</v>
          </cell>
          <cell r="AF43">
            <v>846.04</v>
          </cell>
          <cell r="AH43">
            <v>0</v>
          </cell>
          <cell r="AU43"/>
        </row>
        <row r="44">
          <cell r="H44">
            <v>2</v>
          </cell>
          <cell r="I44" t="str">
            <v>400003</v>
          </cell>
          <cell r="K44" t="str">
            <v>Автомобили бортовые, грузоподъемность: до 10т</v>
          </cell>
          <cell r="O44" t="str">
            <v>маш.-ч</v>
          </cell>
          <cell r="Y44">
            <v>0.05</v>
          </cell>
          <cell r="AA44">
            <v>0</v>
          </cell>
          <cell r="AB44">
            <v>869.21</v>
          </cell>
          <cell r="AD44">
            <v>0</v>
          </cell>
          <cell r="AE44">
            <v>0</v>
          </cell>
          <cell r="AF44">
            <v>102.14</v>
          </cell>
          <cell r="AH44">
            <v>0</v>
          </cell>
          <cell r="AU44"/>
        </row>
        <row r="45">
          <cell r="H45">
            <v>3</v>
          </cell>
          <cell r="I45" t="str">
            <v>109-0012</v>
          </cell>
          <cell r="K45" t="str">
            <v>Глина бентонитовая марки ПБМГ</v>
          </cell>
          <cell r="O45" t="str">
            <v>т</v>
          </cell>
          <cell r="Y45">
            <v>2.46E-2</v>
          </cell>
          <cell r="AE45">
            <v>557</v>
          </cell>
          <cell r="AF45">
            <v>0</v>
          </cell>
          <cell r="AH45">
            <v>0</v>
          </cell>
          <cell r="AU45"/>
        </row>
        <row r="46">
          <cell r="H46">
            <v>3</v>
          </cell>
          <cell r="I46" t="str">
            <v>110-0245</v>
          </cell>
          <cell r="K46" t="str">
            <v>Полимер для стабилизации буровых скважин «ФИЛЬТР ЧЕК»</v>
          </cell>
          <cell r="O46" t="str">
            <v>т</v>
          </cell>
          <cell r="Y46">
            <v>3.0999999999999999E-3</v>
          </cell>
          <cell r="AE46">
            <v>13820.25</v>
          </cell>
          <cell r="AF46">
            <v>0</v>
          </cell>
          <cell r="AH46">
            <v>0</v>
          </cell>
          <cell r="AU46"/>
        </row>
        <row r="47">
          <cell r="H47">
            <v>3</v>
          </cell>
          <cell r="I47" t="str">
            <v>110-0246</v>
          </cell>
          <cell r="K47" t="str">
            <v>Полимер для стабилизации буровых скважин «ИЗ МАД»</v>
          </cell>
          <cell r="O47" t="str">
            <v>т</v>
          </cell>
          <cell r="Y47">
            <v>1.1999999999999999E-3</v>
          </cell>
          <cell r="AE47">
            <v>64460.43</v>
          </cell>
          <cell r="AF47">
            <v>0</v>
          </cell>
          <cell r="AH47">
            <v>0</v>
          </cell>
          <cell r="AU47"/>
        </row>
        <row r="48">
          <cell r="H48">
            <v>3</v>
          </cell>
          <cell r="I48" t="str">
            <v>411-0001</v>
          </cell>
          <cell r="K48" t="str">
            <v>Вода</v>
          </cell>
          <cell r="O48" t="str">
            <v>м3</v>
          </cell>
          <cell r="Y48">
            <v>0.41</v>
          </cell>
          <cell r="AE48">
            <v>2.4500000000000002</v>
          </cell>
          <cell r="AF48">
            <v>0</v>
          </cell>
          <cell r="AH48">
            <v>0</v>
          </cell>
          <cell r="AU48"/>
        </row>
        <row r="50">
          <cell r="H50">
            <v>1</v>
          </cell>
          <cell r="I50" t="str">
            <v>1-2040-69</v>
          </cell>
          <cell r="K50" t="str">
            <v>Рабочий монтажник среднего разряда 4</v>
          </cell>
          <cell r="O50" t="str">
            <v>чел.-ч</v>
          </cell>
          <cell r="Y50">
            <v>23.04</v>
          </cell>
          <cell r="AA50">
            <v>0</v>
          </cell>
          <cell r="AB50">
            <v>0</v>
          </cell>
          <cell r="AD50">
            <v>9.2899999999999991</v>
          </cell>
          <cell r="AE50">
            <v>0</v>
          </cell>
          <cell r="AF50">
            <v>0</v>
          </cell>
          <cell r="AH50">
            <v>9.2899999999999991</v>
          </cell>
          <cell r="AU50"/>
        </row>
        <row r="51">
          <cell r="H51">
            <v>1</v>
          </cell>
          <cell r="I51" t="str">
            <v>2-69</v>
          </cell>
          <cell r="K51" t="str">
            <v>Затраты труда машинистов</v>
          </cell>
          <cell r="O51" t="str">
            <v>чел.час</v>
          </cell>
          <cell r="Y51">
            <v>0.2</v>
          </cell>
          <cell r="AA51">
            <v>0</v>
          </cell>
          <cell r="AB51">
            <v>0</v>
          </cell>
          <cell r="AD51">
            <v>0</v>
          </cell>
          <cell r="AE51">
            <v>0</v>
          </cell>
          <cell r="AF51">
            <v>0</v>
          </cell>
          <cell r="AH51">
            <v>0</v>
          </cell>
          <cell r="AU51"/>
        </row>
        <row r="52">
          <cell r="H52">
            <v>2</v>
          </cell>
          <cell r="I52" t="str">
            <v>021102</v>
          </cell>
          <cell r="K52" t="str">
            <v>Краны на автомобильном ходу при работе на монтаже технологического оборудования 10 т</v>
          </cell>
          <cell r="O52" t="str">
            <v>маш.-ч</v>
          </cell>
          <cell r="Y52">
            <v>0.2</v>
          </cell>
          <cell r="AA52">
            <v>0</v>
          </cell>
          <cell r="AB52">
            <v>702.75</v>
          </cell>
          <cell r="AD52">
            <v>0</v>
          </cell>
          <cell r="AE52">
            <v>0</v>
          </cell>
          <cell r="AF52">
            <v>131.11000000000001</v>
          </cell>
          <cell r="AH52">
            <v>0</v>
          </cell>
          <cell r="AU52"/>
        </row>
        <row r="53">
          <cell r="H53">
            <v>2</v>
          </cell>
          <cell r="I53" t="str">
            <v>030203</v>
          </cell>
          <cell r="K53" t="str">
            <v>Домкраты гидравлические грузоподъемностью 63-100 т</v>
          </cell>
          <cell r="O53" t="str">
            <v>маш.-ч</v>
          </cell>
          <cell r="Y53">
            <v>5.14</v>
          </cell>
          <cell r="AA53">
            <v>0</v>
          </cell>
          <cell r="AB53">
            <v>13.6</v>
          </cell>
          <cell r="AD53">
            <v>0</v>
          </cell>
          <cell r="AE53">
            <v>0</v>
          </cell>
          <cell r="AF53">
            <v>2.37</v>
          </cell>
          <cell r="AH53">
            <v>0</v>
          </cell>
          <cell r="AU53"/>
        </row>
        <row r="54">
          <cell r="H54">
            <v>2</v>
          </cell>
          <cell r="I54" t="str">
            <v>030404</v>
          </cell>
          <cell r="K54" t="str">
            <v>Лебедки электрические тяговым усилием до 31,39 кН (3,2 т)</v>
          </cell>
          <cell r="O54" t="str">
            <v>маш.-ч</v>
          </cell>
          <cell r="Y54">
            <v>5.14</v>
          </cell>
          <cell r="AA54">
            <v>0</v>
          </cell>
          <cell r="AB54">
            <v>23.6</v>
          </cell>
          <cell r="AD54">
            <v>0</v>
          </cell>
          <cell r="AE54">
            <v>0</v>
          </cell>
          <cell r="AF54">
            <v>6.9</v>
          </cell>
          <cell r="AH54">
            <v>0</v>
          </cell>
          <cell r="AU54"/>
        </row>
        <row r="55">
          <cell r="H55">
            <v>2</v>
          </cell>
          <cell r="I55" t="str">
            <v>400001</v>
          </cell>
          <cell r="K55" t="str">
            <v>Автомобили бортовые, грузоподъемность до 5 т</v>
          </cell>
          <cell r="O55" t="str">
            <v>маш.-ч</v>
          </cell>
          <cell r="Y55">
            <v>0.2</v>
          </cell>
          <cell r="AA55">
            <v>0</v>
          </cell>
          <cell r="AB55">
            <v>738.46</v>
          </cell>
          <cell r="AD55">
            <v>0</v>
          </cell>
          <cell r="AE55">
            <v>0</v>
          </cell>
          <cell r="AF55">
            <v>91.62</v>
          </cell>
          <cell r="AH55">
            <v>0</v>
          </cell>
          <cell r="AU55"/>
        </row>
        <row r="56">
          <cell r="H56">
            <v>3</v>
          </cell>
          <cell r="I56" t="str">
            <v>101-2478</v>
          </cell>
          <cell r="K56" t="str">
            <v>Лента К226</v>
          </cell>
          <cell r="O56" t="str">
            <v>100 м</v>
          </cell>
          <cell r="Y56">
            <v>9.5999999999999992E-3</v>
          </cell>
          <cell r="AE56">
            <v>120</v>
          </cell>
          <cell r="AF56">
            <v>0</v>
          </cell>
          <cell r="AH56">
            <v>0</v>
          </cell>
          <cell r="AU56"/>
        </row>
        <row r="57">
          <cell r="H57">
            <v>3</v>
          </cell>
          <cell r="I57" t="str">
            <v>113-1786</v>
          </cell>
          <cell r="K57" t="str">
            <v>Лак битумный БТ-123</v>
          </cell>
          <cell r="O57" t="str">
            <v>т</v>
          </cell>
          <cell r="Y57">
            <v>6.0000000000000002E-5</v>
          </cell>
          <cell r="AE57">
            <v>8461.6299999999992</v>
          </cell>
          <cell r="AF57">
            <v>0</v>
          </cell>
          <cell r="AH57">
            <v>0</v>
          </cell>
          <cell r="AU57"/>
        </row>
        <row r="58">
          <cell r="H58">
            <v>3</v>
          </cell>
          <cell r="I58" t="str">
            <v>506-1362</v>
          </cell>
          <cell r="K58" t="str">
            <v>Припои оловянно-свинцовые бессурьмянистые марки ПОС30</v>
          </cell>
          <cell r="O58" t="str">
            <v>кг</v>
          </cell>
          <cell r="Y58">
            <v>0.5</v>
          </cell>
          <cell r="AE58">
            <v>66.84</v>
          </cell>
          <cell r="AF58">
            <v>0</v>
          </cell>
          <cell r="AH58">
            <v>0</v>
          </cell>
          <cell r="AU58"/>
        </row>
        <row r="59">
          <cell r="H59">
            <v>3</v>
          </cell>
          <cell r="I59" t="str">
            <v>999-9950</v>
          </cell>
          <cell r="K59" t="str">
            <v>Вспомогательные ненормируемые материалы (2% от ОЗП)</v>
          </cell>
          <cell r="O59" t="str">
            <v>руб.</v>
          </cell>
          <cell r="Y59">
            <v>4.43</v>
          </cell>
          <cell r="AE59">
            <v>1</v>
          </cell>
          <cell r="AF59">
            <v>0</v>
          </cell>
          <cell r="AH59">
            <v>0</v>
          </cell>
          <cell r="AU59"/>
        </row>
        <row r="60">
          <cell r="H60">
            <v>1</v>
          </cell>
          <cell r="I60" t="str">
            <v>1-1029-69</v>
          </cell>
          <cell r="K60" t="str">
            <v>Рабочий строитель среднего разряда 2,9</v>
          </cell>
          <cell r="O60" t="str">
            <v>чел.-ч</v>
          </cell>
          <cell r="Y60">
            <v>1.8</v>
          </cell>
          <cell r="AA60">
            <v>0</v>
          </cell>
          <cell r="AB60">
            <v>0</v>
          </cell>
          <cell r="AD60">
            <v>8.16</v>
          </cell>
          <cell r="AE60">
            <v>0</v>
          </cell>
          <cell r="AF60">
            <v>0</v>
          </cell>
          <cell r="AH60">
            <v>8.16</v>
          </cell>
          <cell r="AU60"/>
        </row>
        <row r="61">
          <cell r="H61">
            <v>2</v>
          </cell>
          <cell r="I61" t="str">
            <v>040202</v>
          </cell>
          <cell r="K61" t="str">
            <v>Агрегаты сварочные передвижные с номинальным сварочным током 250-400 А: с дизельным двигателем</v>
          </cell>
          <cell r="O61" t="str">
            <v>маш.-ч</v>
          </cell>
          <cell r="Y61">
            <v>0.5</v>
          </cell>
          <cell r="AA61">
            <v>0</v>
          </cell>
          <cell r="AB61">
            <v>82.72</v>
          </cell>
          <cell r="AD61">
            <v>0</v>
          </cell>
          <cell r="AE61">
            <v>0</v>
          </cell>
          <cell r="AF61">
            <v>13.11</v>
          </cell>
          <cell r="AH61">
            <v>0</v>
          </cell>
          <cell r="AU61"/>
        </row>
        <row r="62">
          <cell r="H62">
            <v>2</v>
          </cell>
          <cell r="I62" t="str">
            <v>400001</v>
          </cell>
          <cell r="K62" t="str">
            <v>Автомобили бортовые, грузоподъемность: до 5 т</v>
          </cell>
          <cell r="O62" t="str">
            <v>маш.-ч</v>
          </cell>
          <cell r="Y62">
            <v>0.1</v>
          </cell>
          <cell r="AA62">
            <v>0</v>
          </cell>
          <cell r="AB62">
            <v>738.46</v>
          </cell>
          <cell r="AD62">
            <v>0</v>
          </cell>
          <cell r="AE62">
            <v>0</v>
          </cell>
          <cell r="AF62">
            <v>91.62</v>
          </cell>
          <cell r="AH62">
            <v>0</v>
          </cell>
          <cell r="AU62"/>
        </row>
        <row r="63">
          <cell r="H63">
            <v>3</v>
          </cell>
          <cell r="I63" t="str">
            <v>101-1513</v>
          </cell>
          <cell r="K63" t="str">
            <v>Электроды диаметром 4 мм Э42</v>
          </cell>
          <cell r="O63" t="str">
            <v>т</v>
          </cell>
          <cell r="Y63">
            <v>1.2E-4</v>
          </cell>
          <cell r="AE63">
            <v>11191.78</v>
          </cell>
          <cell r="AF63">
            <v>0</v>
          </cell>
          <cell r="AH63">
            <v>0</v>
          </cell>
          <cell r="AU63"/>
        </row>
        <row r="65">
          <cell r="H65">
            <v>1</v>
          </cell>
          <cell r="I65" t="str">
            <v>1-2038-69</v>
          </cell>
          <cell r="K65" t="str">
            <v>Рабочий монтажник среднего разряда 3,8</v>
          </cell>
          <cell r="O65" t="str">
            <v>чел.-ч</v>
          </cell>
          <cell r="Y65">
            <v>21.3</v>
          </cell>
          <cell r="AA65">
            <v>0</v>
          </cell>
          <cell r="AB65">
            <v>0</v>
          </cell>
          <cell r="AD65">
            <v>9.08</v>
          </cell>
          <cell r="AE65">
            <v>0</v>
          </cell>
          <cell r="AF65">
            <v>0</v>
          </cell>
          <cell r="AH65">
            <v>9.08</v>
          </cell>
          <cell r="AU65"/>
        </row>
        <row r="66">
          <cell r="H66">
            <v>1</v>
          </cell>
          <cell r="I66" t="str">
            <v>2</v>
          </cell>
          <cell r="K66" t="str">
            <v>Затраты труда машинистов</v>
          </cell>
          <cell r="O66" t="str">
            <v>чел.-ч</v>
          </cell>
          <cell r="Y66">
            <v>0.25</v>
          </cell>
          <cell r="AA66">
            <v>0</v>
          </cell>
          <cell r="AB66">
            <v>0</v>
          </cell>
          <cell r="AD66">
            <v>0</v>
          </cell>
          <cell r="AE66">
            <v>0</v>
          </cell>
          <cell r="AF66">
            <v>0</v>
          </cell>
          <cell r="AH66">
            <v>0</v>
          </cell>
          <cell r="AU66"/>
        </row>
        <row r="67">
          <cell r="H67">
            <v>2</v>
          </cell>
          <cell r="I67" t="str">
            <v>021102</v>
          </cell>
          <cell r="K67" t="str">
            <v>Краны на автомобильном ходу при работе на монтаже технологического оборудования: 10т</v>
          </cell>
          <cell r="O67" t="str">
            <v>маш.-ч</v>
          </cell>
          <cell r="Y67">
            <v>0.25</v>
          </cell>
          <cell r="AA67">
            <v>0</v>
          </cell>
          <cell r="AB67">
            <v>702.75</v>
          </cell>
          <cell r="AD67">
            <v>0</v>
          </cell>
          <cell r="AE67">
            <v>0</v>
          </cell>
          <cell r="AF67">
            <v>131.11000000000001</v>
          </cell>
          <cell r="AH67">
            <v>0</v>
          </cell>
          <cell r="AU67"/>
        </row>
        <row r="68">
          <cell r="H68">
            <v>2</v>
          </cell>
          <cell r="I68" t="str">
            <v>040502</v>
          </cell>
          <cell r="K68" t="str">
            <v>Установки для сварки: ручной дуговой (постоянного тока)</v>
          </cell>
          <cell r="O68" t="str">
            <v>маш.-ч</v>
          </cell>
          <cell r="Y68">
            <v>3.36</v>
          </cell>
          <cell r="AA68">
            <v>0</v>
          </cell>
          <cell r="AB68">
            <v>47.06</v>
          </cell>
          <cell r="AD68">
            <v>0</v>
          </cell>
          <cell r="AE68">
            <v>0</v>
          </cell>
          <cell r="AF68">
            <v>8.1</v>
          </cell>
          <cell r="AH68">
            <v>0</v>
          </cell>
          <cell r="AU68"/>
        </row>
        <row r="69">
          <cell r="H69">
            <v>2</v>
          </cell>
          <cell r="I69" t="str">
            <v>400002</v>
          </cell>
          <cell r="K69" t="str">
            <v>Автомобили бортовые, грузоподъемность: до 8 т</v>
          </cell>
          <cell r="O69" t="str">
            <v>маш.-ч</v>
          </cell>
          <cell r="Y69">
            <v>0.25</v>
          </cell>
          <cell r="AA69">
            <v>0</v>
          </cell>
          <cell r="AB69">
            <v>884.28</v>
          </cell>
          <cell r="AD69">
            <v>0</v>
          </cell>
          <cell r="AE69">
            <v>0</v>
          </cell>
          <cell r="AF69">
            <v>109.17</v>
          </cell>
          <cell r="AH69">
            <v>0</v>
          </cell>
          <cell r="AU69"/>
        </row>
        <row r="70">
          <cell r="H70">
            <v>3</v>
          </cell>
          <cell r="I70" t="str">
            <v>101-1627</v>
          </cell>
          <cell r="K70" t="str">
            <v>Сталь листовая углеродистая обыкновенного качества марки ВСт3пс5 толщиной 4-6 мм</v>
          </cell>
          <cell r="O70" t="str">
            <v>т</v>
          </cell>
          <cell r="Y70">
            <v>4.0000000000000001E-3</v>
          </cell>
          <cell r="AE70">
            <v>5763</v>
          </cell>
          <cell r="AF70">
            <v>0</v>
          </cell>
          <cell r="AH70">
            <v>0</v>
          </cell>
          <cell r="AU70"/>
        </row>
        <row r="71">
          <cell r="H71">
            <v>3</v>
          </cell>
          <cell r="I71" t="str">
            <v>101-1699</v>
          </cell>
          <cell r="K71" t="str">
            <v>Патроны для пристрелки</v>
          </cell>
          <cell r="O71" t="str">
            <v>10 шт.</v>
          </cell>
          <cell r="Y71">
            <v>8.1999999999999993</v>
          </cell>
          <cell r="AE71">
            <v>5.68</v>
          </cell>
          <cell r="AF71">
            <v>0</v>
          </cell>
          <cell r="AH71">
            <v>0</v>
          </cell>
          <cell r="AU71"/>
        </row>
        <row r="72">
          <cell r="H72">
            <v>3</v>
          </cell>
          <cell r="I72" t="str">
            <v>101-1889</v>
          </cell>
          <cell r="K72" t="str">
            <v>Сталь полосовая 40х4 мм, кипящая</v>
          </cell>
          <cell r="O72" t="str">
            <v>т</v>
          </cell>
          <cell r="Y72">
            <v>0.13</v>
          </cell>
          <cell r="AE72">
            <v>6718.47</v>
          </cell>
          <cell r="AF72">
            <v>0</v>
          </cell>
          <cell r="AH72">
            <v>0</v>
          </cell>
          <cell r="AU72"/>
        </row>
        <row r="73">
          <cell r="H73">
            <v>3</v>
          </cell>
          <cell r="I73" t="str">
            <v>101-1924</v>
          </cell>
          <cell r="K73" t="str">
            <v>Электроды диаметром 4 мм Э42А</v>
          </cell>
          <cell r="O73" t="str">
            <v>кг</v>
          </cell>
          <cell r="Y73">
            <v>1.3</v>
          </cell>
          <cell r="AE73">
            <v>11.11</v>
          </cell>
          <cell r="AF73">
            <v>0</v>
          </cell>
          <cell r="AH73">
            <v>0</v>
          </cell>
          <cell r="AU73"/>
        </row>
        <row r="74">
          <cell r="H74">
            <v>3</v>
          </cell>
          <cell r="I74" t="str">
            <v>101-2143</v>
          </cell>
          <cell r="K74" t="str">
            <v>Краска</v>
          </cell>
          <cell r="O74" t="str">
            <v>кг</v>
          </cell>
          <cell r="Y74">
            <v>2.2999999999999998</v>
          </cell>
          <cell r="AE74">
            <v>28.6</v>
          </cell>
          <cell r="AF74">
            <v>0</v>
          </cell>
          <cell r="AH74">
            <v>0</v>
          </cell>
          <cell r="AU74"/>
        </row>
        <row r="75">
          <cell r="H75">
            <v>3</v>
          </cell>
          <cell r="I75" t="str">
            <v>101-3911</v>
          </cell>
          <cell r="K75" t="str">
            <v>Дюбели для пристрелки стальные</v>
          </cell>
          <cell r="O75" t="str">
            <v>10 шт.</v>
          </cell>
          <cell r="Y75">
            <v>8.1999999999999993</v>
          </cell>
          <cell r="AE75">
            <v>5.4</v>
          </cell>
          <cell r="AF75">
            <v>0</v>
          </cell>
          <cell r="AH75">
            <v>0</v>
          </cell>
          <cell r="AU75"/>
        </row>
        <row r="76">
          <cell r="H76">
            <v>3</v>
          </cell>
          <cell r="I76" t="str">
            <v>509-0104</v>
          </cell>
          <cell r="K76" t="str">
            <v>Скобы двухлапковые</v>
          </cell>
          <cell r="O76" t="str">
            <v>10 шт.</v>
          </cell>
          <cell r="Y76">
            <v>1.5</v>
          </cell>
          <cell r="AE76">
            <v>32.799999999999997</v>
          </cell>
          <cell r="AF76">
            <v>0</v>
          </cell>
          <cell r="AH76">
            <v>0</v>
          </cell>
          <cell r="AU76"/>
        </row>
        <row r="78">
          <cell r="H78">
            <v>1</v>
          </cell>
          <cell r="I78" t="str">
            <v>1-1029-69</v>
          </cell>
          <cell r="K78" t="str">
            <v>Рабочий строитель среднего разряда 2,9</v>
          </cell>
          <cell r="O78" t="str">
            <v>чел.-ч</v>
          </cell>
          <cell r="Y78">
            <v>0.81</v>
          </cell>
          <cell r="AA78">
            <v>0</v>
          </cell>
          <cell r="AB78">
            <v>0</v>
          </cell>
          <cell r="AD78">
            <v>8.16</v>
          </cell>
          <cell r="AE78">
            <v>0</v>
          </cell>
          <cell r="AF78">
            <v>0</v>
          </cell>
          <cell r="AH78">
            <v>8.16</v>
          </cell>
          <cell r="AU78"/>
        </row>
        <row r="79">
          <cell r="H79">
            <v>1</v>
          </cell>
          <cell r="I79" t="str">
            <v>2</v>
          </cell>
          <cell r="K79" t="str">
            <v>Затраты труда машинистов</v>
          </cell>
          <cell r="O79" t="str">
            <v>чел.-ч</v>
          </cell>
          <cell r="Y79">
            <v>0.61</v>
          </cell>
          <cell r="AA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H79">
            <v>0</v>
          </cell>
          <cell r="AU79"/>
        </row>
        <row r="80">
          <cell r="H80">
            <v>2</v>
          </cell>
          <cell r="I80" t="str">
            <v>040202</v>
          </cell>
          <cell r="K80" t="str">
            <v>Агрегаты сварочные передвижные с номинальным сварочным током 250-400 А: с дизельным двигателем</v>
          </cell>
          <cell r="O80" t="str">
            <v>маш.-ч</v>
          </cell>
          <cell r="Y80">
            <v>0.19</v>
          </cell>
          <cell r="AA80">
            <v>0</v>
          </cell>
          <cell r="AB80">
            <v>82.72</v>
          </cell>
          <cell r="AD80">
            <v>0</v>
          </cell>
          <cell r="AE80">
            <v>0</v>
          </cell>
          <cell r="AF80">
            <v>13.11</v>
          </cell>
          <cell r="AH80">
            <v>0</v>
          </cell>
          <cell r="AU80"/>
        </row>
        <row r="81">
          <cell r="H81">
            <v>2</v>
          </cell>
          <cell r="I81" t="str">
            <v>050102</v>
          </cell>
          <cell r="K81" t="str">
            <v>Компрессоры передвижные с двигателем внутреннего сгорания давлением: до 686 кПа (7 ат), производительность 5 м3/мин</v>
          </cell>
          <cell r="O81" t="str">
            <v>маш.-ч</v>
          </cell>
          <cell r="Y81">
            <v>0.61</v>
          </cell>
          <cell r="AA81">
            <v>0</v>
          </cell>
          <cell r="AB81">
            <v>97.12</v>
          </cell>
          <cell r="AD81">
            <v>0</v>
          </cell>
          <cell r="AE81">
            <v>0</v>
          </cell>
          <cell r="AF81">
            <v>97.12</v>
          </cell>
          <cell r="AH81">
            <v>0</v>
          </cell>
          <cell r="AU81"/>
        </row>
        <row r="82">
          <cell r="H82">
            <v>2</v>
          </cell>
          <cell r="I82" t="str">
            <v>331481</v>
          </cell>
          <cell r="K82" t="str">
            <v>Машины пневматические ПУМ-3</v>
          </cell>
          <cell r="O82" t="str">
            <v>маш.-ч</v>
          </cell>
          <cell r="Y82">
            <v>0.61</v>
          </cell>
          <cell r="AA82">
            <v>0</v>
          </cell>
          <cell r="AB82">
            <v>214.16</v>
          </cell>
          <cell r="AD82">
            <v>0</v>
          </cell>
          <cell r="AE82">
            <v>0</v>
          </cell>
          <cell r="AF82">
            <v>91.13</v>
          </cell>
          <cell r="AH82">
            <v>0</v>
          </cell>
          <cell r="AU82"/>
        </row>
        <row r="83">
          <cell r="H83">
            <v>3</v>
          </cell>
          <cell r="I83" t="str">
            <v>101-1513</v>
          </cell>
          <cell r="K83" t="str">
            <v>Электроды диаметром 4 мм Э42</v>
          </cell>
          <cell r="O83" t="str">
            <v>т</v>
          </cell>
          <cell r="Y83">
            <v>3.0000000000000001E-5</v>
          </cell>
          <cell r="AE83">
            <v>11191.78</v>
          </cell>
          <cell r="AF83">
            <v>0</v>
          </cell>
          <cell r="AH83">
            <v>0</v>
          </cell>
          <cell r="AU83"/>
        </row>
        <row r="84">
          <cell r="H84">
            <v>3</v>
          </cell>
          <cell r="I84" t="str">
            <v>204-0004</v>
          </cell>
          <cell r="K84" t="str">
            <v>Горячекатаная арматурная сталь гладкая класса А-I, диаметром 12 мм</v>
          </cell>
          <cell r="O84" t="str">
            <v>т</v>
          </cell>
          <cell r="Y84">
            <v>5.0000000000000001E-3</v>
          </cell>
          <cell r="AE84">
            <v>4903.1000000000004</v>
          </cell>
          <cell r="AF84">
            <v>0</v>
          </cell>
          <cell r="AH84">
            <v>0</v>
          </cell>
          <cell r="AU84"/>
        </row>
        <row r="85">
          <cell r="H85">
            <v>1</v>
          </cell>
          <cell r="I85" t="str">
            <v>1-2040-69</v>
          </cell>
          <cell r="K85" t="str">
            <v>Рабочий монтажник среднего разряда 4</v>
          </cell>
          <cell r="O85" t="str">
            <v>чел.-ч</v>
          </cell>
          <cell r="Y85">
            <v>15.44</v>
          </cell>
          <cell r="AA85">
            <v>0</v>
          </cell>
          <cell r="AB85">
            <v>0</v>
          </cell>
          <cell r="AD85">
            <v>9.2899999999999991</v>
          </cell>
          <cell r="AE85">
            <v>0</v>
          </cell>
          <cell r="AF85">
            <v>0</v>
          </cell>
          <cell r="AH85">
            <v>9.2899999999999991</v>
          </cell>
          <cell r="AU85"/>
        </row>
        <row r="86">
          <cell r="H86">
            <v>1</v>
          </cell>
          <cell r="I86" t="str">
            <v>2-69</v>
          </cell>
          <cell r="K86" t="str">
            <v>Затраты труда машинистов</v>
          </cell>
          <cell r="O86" t="str">
            <v>чел.час</v>
          </cell>
          <cell r="Y86">
            <v>5</v>
          </cell>
          <cell r="AA86">
            <v>0</v>
          </cell>
          <cell r="AB86">
            <v>0</v>
          </cell>
          <cell r="AD86">
            <v>0</v>
          </cell>
          <cell r="AE86">
            <v>0</v>
          </cell>
          <cell r="AF86">
            <v>0</v>
          </cell>
          <cell r="AH86">
            <v>0</v>
          </cell>
          <cell r="AU86"/>
        </row>
        <row r="87">
          <cell r="H87">
            <v>2</v>
          </cell>
          <cell r="I87" t="str">
            <v>021102</v>
          </cell>
          <cell r="K87" t="str">
            <v>Краны на автомобильном ходу при работе на монтаже технологического оборудования 10 т</v>
          </cell>
          <cell r="O87" t="str">
            <v>маш.-ч</v>
          </cell>
          <cell r="Y87">
            <v>0.2</v>
          </cell>
          <cell r="AA87">
            <v>0</v>
          </cell>
          <cell r="AB87">
            <v>702.75</v>
          </cell>
          <cell r="AD87">
            <v>0</v>
          </cell>
          <cell r="AE87">
            <v>0</v>
          </cell>
          <cell r="AF87">
            <v>131.11000000000001</v>
          </cell>
          <cell r="AH87">
            <v>0</v>
          </cell>
          <cell r="AU87"/>
        </row>
        <row r="88">
          <cell r="H88">
            <v>2</v>
          </cell>
          <cell r="I88" t="str">
            <v>030203</v>
          </cell>
          <cell r="K88" t="str">
            <v>Домкраты гидравлические грузоподъемностью 63-100 т</v>
          </cell>
          <cell r="O88" t="str">
            <v>маш.-ч</v>
          </cell>
          <cell r="Y88">
            <v>3.59</v>
          </cell>
          <cell r="AA88">
            <v>0</v>
          </cell>
          <cell r="AB88">
            <v>13.6</v>
          </cell>
          <cell r="AD88">
            <v>0</v>
          </cell>
          <cell r="AE88">
            <v>0</v>
          </cell>
          <cell r="AF88">
            <v>2.37</v>
          </cell>
          <cell r="AH88">
            <v>0</v>
          </cell>
          <cell r="AU88"/>
        </row>
        <row r="89">
          <cell r="H89">
            <v>2</v>
          </cell>
          <cell r="I89" t="str">
            <v>030402</v>
          </cell>
          <cell r="K89" t="str">
            <v>Лебедки электрические тяговым усилием до 12,26 кН (1,25 т)</v>
          </cell>
          <cell r="O89" t="str">
            <v>маш.-ч</v>
          </cell>
          <cell r="Y89">
            <v>3.59</v>
          </cell>
          <cell r="AA89">
            <v>0</v>
          </cell>
          <cell r="AB89">
            <v>11.74</v>
          </cell>
          <cell r="AD89">
            <v>0</v>
          </cell>
          <cell r="AE89">
            <v>0</v>
          </cell>
          <cell r="AF89">
            <v>3.28</v>
          </cell>
          <cell r="AH89">
            <v>0</v>
          </cell>
          <cell r="AU89"/>
        </row>
        <row r="90">
          <cell r="H90">
            <v>2</v>
          </cell>
          <cell r="I90" t="str">
            <v>031050</v>
          </cell>
          <cell r="K90" t="str">
            <v>Вышка телескопическая 25 м</v>
          </cell>
          <cell r="O90" t="str">
            <v>маш.-ч</v>
          </cell>
          <cell r="Y90">
            <v>4.8</v>
          </cell>
          <cell r="AA90">
            <v>0</v>
          </cell>
          <cell r="AB90">
            <v>684.18</v>
          </cell>
          <cell r="AD90">
            <v>0</v>
          </cell>
          <cell r="AE90">
            <v>0</v>
          </cell>
          <cell r="AF90">
            <v>150.37</v>
          </cell>
          <cell r="AH90">
            <v>0</v>
          </cell>
          <cell r="AU90"/>
        </row>
        <row r="91">
          <cell r="H91">
            <v>2</v>
          </cell>
          <cell r="I91" t="str">
            <v>400001</v>
          </cell>
          <cell r="K91" t="str">
            <v>Автомобили бортовые, грузоподъемность до 5 т</v>
          </cell>
          <cell r="O91" t="str">
            <v>маш.-ч</v>
          </cell>
          <cell r="Y91">
            <v>0.2</v>
          </cell>
          <cell r="AA91">
            <v>0</v>
          </cell>
          <cell r="AB91">
            <v>738.46</v>
          </cell>
          <cell r="AD91">
            <v>0</v>
          </cell>
          <cell r="AE91">
            <v>0</v>
          </cell>
          <cell r="AF91">
            <v>91.62</v>
          </cell>
          <cell r="AH91">
            <v>0</v>
          </cell>
          <cell r="AU91"/>
        </row>
        <row r="92">
          <cell r="H92">
            <v>3</v>
          </cell>
          <cell r="I92" t="str">
            <v>101-2478</v>
          </cell>
          <cell r="K92" t="str">
            <v>Лента К226</v>
          </cell>
          <cell r="O92" t="str">
            <v>100 м</v>
          </cell>
          <cell r="Y92">
            <v>2.4500000000000001E-2</v>
          </cell>
          <cell r="AE92">
            <v>120</v>
          </cell>
          <cell r="AF92">
            <v>0</v>
          </cell>
          <cell r="AH92">
            <v>0</v>
          </cell>
          <cell r="AU92"/>
        </row>
        <row r="93">
          <cell r="H93">
            <v>3</v>
          </cell>
          <cell r="I93" t="str">
            <v>113-1786</v>
          </cell>
          <cell r="K93" t="str">
            <v>Лак битумный БТ-123</v>
          </cell>
          <cell r="O93" t="str">
            <v>т</v>
          </cell>
          <cell r="Y93">
            <v>2.8800000000000002E-3</v>
          </cell>
          <cell r="AE93">
            <v>8461.6299999999992</v>
          </cell>
          <cell r="AF93">
            <v>0</v>
          </cell>
          <cell r="AH93">
            <v>0</v>
          </cell>
          <cell r="AU93"/>
        </row>
        <row r="94">
          <cell r="H94">
            <v>3</v>
          </cell>
          <cell r="I94" t="str">
            <v>506-1362</v>
          </cell>
          <cell r="K94" t="str">
            <v>Припои оловянно-свинцовые бессурьмянистые марки ПОС30</v>
          </cell>
          <cell r="O94" t="str">
            <v>кг</v>
          </cell>
          <cell r="Y94">
            <v>0.5</v>
          </cell>
          <cell r="AE94">
            <v>66.84</v>
          </cell>
          <cell r="AF94">
            <v>0</v>
          </cell>
          <cell r="AH94">
            <v>0</v>
          </cell>
          <cell r="AU94"/>
        </row>
        <row r="95">
          <cell r="H95">
            <v>3</v>
          </cell>
          <cell r="I95" t="str">
            <v>999-9950</v>
          </cell>
          <cell r="K95" t="str">
            <v>Вспомогательные ненормируемые материалы (2% от ОЗП)</v>
          </cell>
          <cell r="O95" t="str">
            <v>руб.</v>
          </cell>
          <cell r="Y95">
            <v>2.97</v>
          </cell>
          <cell r="AE95">
            <v>1</v>
          </cell>
          <cell r="AF95">
            <v>0</v>
          </cell>
          <cell r="AH95">
            <v>0</v>
          </cell>
          <cell r="AU95"/>
        </row>
        <row r="96">
          <cell r="H96">
            <v>1</v>
          </cell>
          <cell r="I96" t="str">
            <v>0-3306-69</v>
          </cell>
          <cell r="K96" t="str">
            <v>Электромонтажник-наладчик 6 разряда</v>
          </cell>
          <cell r="O96" t="str">
            <v>чел.-ч</v>
          </cell>
          <cell r="Y96">
            <v>8</v>
          </cell>
          <cell r="AA96">
            <v>0</v>
          </cell>
          <cell r="AB96">
            <v>0</v>
          </cell>
          <cell r="AD96">
            <v>12.47</v>
          </cell>
          <cell r="AE96">
            <v>0</v>
          </cell>
          <cell r="AF96">
            <v>0</v>
          </cell>
          <cell r="AH96">
            <v>12.47</v>
          </cell>
          <cell r="AU96"/>
        </row>
        <row r="97">
          <cell r="H97">
            <v>1</v>
          </cell>
          <cell r="I97" t="str">
            <v>2-0023-69</v>
          </cell>
          <cell r="K97" t="str">
            <v>Инженер по наладке и испытаниям III категории</v>
          </cell>
          <cell r="O97" t="str">
            <v>чел.-ч</v>
          </cell>
          <cell r="Y97">
            <v>8</v>
          </cell>
          <cell r="AA97">
            <v>0</v>
          </cell>
          <cell r="AB97">
            <v>0</v>
          </cell>
          <cell r="AD97">
            <v>12.25</v>
          </cell>
          <cell r="AE97">
            <v>0</v>
          </cell>
          <cell r="AF97">
            <v>0</v>
          </cell>
          <cell r="AH97">
            <v>12.25</v>
          </cell>
          <cell r="AU97"/>
        </row>
        <row r="98">
          <cell r="H98">
            <v>1</v>
          </cell>
          <cell r="I98" t="str">
            <v>0-3306-69</v>
          </cell>
          <cell r="K98" t="str">
            <v>Электромонтажник-наладчик 6 разряда</v>
          </cell>
          <cell r="O98" t="str">
            <v>чел.-ч</v>
          </cell>
          <cell r="Y98">
            <v>2</v>
          </cell>
          <cell r="AA98">
            <v>0</v>
          </cell>
          <cell r="AB98">
            <v>0</v>
          </cell>
          <cell r="AD98">
            <v>12.47</v>
          </cell>
          <cell r="AE98">
            <v>0</v>
          </cell>
          <cell r="AF98">
            <v>0</v>
          </cell>
          <cell r="AH98">
            <v>12.47</v>
          </cell>
          <cell r="AU98"/>
        </row>
        <row r="99">
          <cell r="H99">
            <v>1</v>
          </cell>
          <cell r="I99" t="str">
            <v>2-0023-69</v>
          </cell>
          <cell r="K99" t="str">
            <v>Инженер по наладке и испытаниям III категории</v>
          </cell>
          <cell r="O99" t="str">
            <v>чел.-ч</v>
          </cell>
          <cell r="Y99">
            <v>2</v>
          </cell>
          <cell r="AA99">
            <v>0</v>
          </cell>
          <cell r="AB99">
            <v>0</v>
          </cell>
          <cell r="AD99">
            <v>12.25</v>
          </cell>
          <cell r="AE99">
            <v>0</v>
          </cell>
          <cell r="AF99">
            <v>0</v>
          </cell>
          <cell r="AH99">
            <v>12.25</v>
          </cell>
          <cell r="AU99"/>
        </row>
        <row r="100">
          <cell r="H100">
            <v>1</v>
          </cell>
          <cell r="I100" t="str">
            <v>0-3304-69</v>
          </cell>
          <cell r="K100" t="str">
            <v>Электромонтажник-наладчик 4 разряда</v>
          </cell>
          <cell r="O100" t="str">
            <v>чел.-ч</v>
          </cell>
          <cell r="Y100">
            <v>1.94</v>
          </cell>
          <cell r="AA100">
            <v>0</v>
          </cell>
          <cell r="AB100">
            <v>0</v>
          </cell>
          <cell r="AD100">
            <v>9.2899999999999991</v>
          </cell>
          <cell r="AE100">
            <v>0</v>
          </cell>
          <cell r="AF100">
            <v>0</v>
          </cell>
          <cell r="AH100">
            <v>9.2899999999999991</v>
          </cell>
          <cell r="AU100"/>
        </row>
        <row r="101">
          <cell r="H101">
            <v>1</v>
          </cell>
          <cell r="I101" t="str">
            <v>2-0023-69</v>
          </cell>
          <cell r="K101" t="str">
            <v>Инженер по наладке и испытаниям III категории</v>
          </cell>
          <cell r="O101" t="str">
            <v>чел.-ч</v>
          </cell>
          <cell r="Y101">
            <v>2.92</v>
          </cell>
          <cell r="AA101">
            <v>0</v>
          </cell>
          <cell r="AB101">
            <v>0</v>
          </cell>
          <cell r="AD101">
            <v>12.25</v>
          </cell>
          <cell r="AE101">
            <v>0</v>
          </cell>
          <cell r="AF101">
            <v>0</v>
          </cell>
          <cell r="AH101">
            <v>12.25</v>
          </cell>
          <cell r="AU101"/>
        </row>
      </sheetData>
      <sheetData sheetId="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"/>
      <sheetName val=" 12-гр. ЛС 1 (2)"/>
      <sheetName val="Source"/>
      <sheetName val="SourceObSm"/>
      <sheetName val="SmtRes"/>
      <sheetName val="EtalonRes"/>
    </sheetNames>
    <sheetDataSet>
      <sheetData sheetId="0">
        <row r="58">
          <cell r="H58">
            <v>3357.3885995146616</v>
          </cell>
        </row>
      </sheetData>
      <sheetData sheetId="1">
        <row r="345">
          <cell r="M345">
            <v>2651.9900000000002</v>
          </cell>
        </row>
        <row r="349">
          <cell r="M349">
            <v>533215.02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view="pageBreakPreview" topLeftCell="A22" zoomScaleNormal="100" workbookViewId="0">
      <selection activeCell="A25" sqref="A25:D25"/>
    </sheetView>
  </sheetViews>
  <sheetFormatPr defaultRowHeight="15" x14ac:dyDescent="0.25"/>
  <cols>
    <col min="1" max="1" width="3.42578125" style="647" customWidth="1"/>
    <col min="2" max="2" width="20.85546875" style="647" customWidth="1"/>
    <col min="3" max="3" width="36.42578125" style="647" customWidth="1"/>
    <col min="4" max="4" width="33.5703125" style="647" customWidth="1"/>
    <col min="5" max="5" width="13.7109375" style="647" customWidth="1"/>
    <col min="6" max="6" width="1" style="647" hidden="1" customWidth="1"/>
    <col min="7" max="8" width="11.42578125" style="647" bestFit="1" customWidth="1"/>
    <col min="9" max="256" width="9.140625" style="647"/>
    <col min="257" max="257" width="3.42578125" style="647" customWidth="1"/>
    <col min="258" max="258" width="20.85546875" style="647" customWidth="1"/>
    <col min="259" max="259" width="36.42578125" style="647" customWidth="1"/>
    <col min="260" max="260" width="33.5703125" style="647" customWidth="1"/>
    <col min="261" max="261" width="13.7109375" style="647" customWidth="1"/>
    <col min="262" max="262" width="0" style="647" hidden="1" customWidth="1"/>
    <col min="263" max="264" width="11.42578125" style="647" bestFit="1" customWidth="1"/>
    <col min="265" max="512" width="9.140625" style="647"/>
    <col min="513" max="513" width="3.42578125" style="647" customWidth="1"/>
    <col min="514" max="514" width="20.85546875" style="647" customWidth="1"/>
    <col min="515" max="515" width="36.42578125" style="647" customWidth="1"/>
    <col min="516" max="516" width="33.5703125" style="647" customWidth="1"/>
    <col min="517" max="517" width="13.7109375" style="647" customWidth="1"/>
    <col min="518" max="518" width="0" style="647" hidden="1" customWidth="1"/>
    <col min="519" max="520" width="11.42578125" style="647" bestFit="1" customWidth="1"/>
    <col min="521" max="768" width="9.140625" style="647"/>
    <col min="769" max="769" width="3.42578125" style="647" customWidth="1"/>
    <col min="770" max="770" width="20.85546875" style="647" customWidth="1"/>
    <col min="771" max="771" width="36.42578125" style="647" customWidth="1"/>
    <col min="772" max="772" width="33.5703125" style="647" customWidth="1"/>
    <col min="773" max="773" width="13.7109375" style="647" customWidth="1"/>
    <col min="774" max="774" width="0" style="647" hidden="1" customWidth="1"/>
    <col min="775" max="776" width="11.42578125" style="647" bestFit="1" customWidth="1"/>
    <col min="777" max="1024" width="9.140625" style="647"/>
    <col min="1025" max="1025" width="3.42578125" style="647" customWidth="1"/>
    <col min="1026" max="1026" width="20.85546875" style="647" customWidth="1"/>
    <col min="1027" max="1027" width="36.42578125" style="647" customWidth="1"/>
    <col min="1028" max="1028" width="33.5703125" style="647" customWidth="1"/>
    <col min="1029" max="1029" width="13.7109375" style="647" customWidth="1"/>
    <col min="1030" max="1030" width="0" style="647" hidden="1" customWidth="1"/>
    <col min="1031" max="1032" width="11.42578125" style="647" bestFit="1" customWidth="1"/>
    <col min="1033" max="1280" width="9.140625" style="647"/>
    <col min="1281" max="1281" width="3.42578125" style="647" customWidth="1"/>
    <col min="1282" max="1282" width="20.85546875" style="647" customWidth="1"/>
    <col min="1283" max="1283" width="36.42578125" style="647" customWidth="1"/>
    <col min="1284" max="1284" width="33.5703125" style="647" customWidth="1"/>
    <col min="1285" max="1285" width="13.7109375" style="647" customWidth="1"/>
    <col min="1286" max="1286" width="0" style="647" hidden="1" customWidth="1"/>
    <col min="1287" max="1288" width="11.42578125" style="647" bestFit="1" customWidth="1"/>
    <col min="1289" max="1536" width="9.140625" style="647"/>
    <col min="1537" max="1537" width="3.42578125" style="647" customWidth="1"/>
    <col min="1538" max="1538" width="20.85546875" style="647" customWidth="1"/>
    <col min="1539" max="1539" width="36.42578125" style="647" customWidth="1"/>
    <col min="1540" max="1540" width="33.5703125" style="647" customWidth="1"/>
    <col min="1541" max="1541" width="13.7109375" style="647" customWidth="1"/>
    <col min="1542" max="1542" width="0" style="647" hidden="1" customWidth="1"/>
    <col min="1543" max="1544" width="11.42578125" style="647" bestFit="1" customWidth="1"/>
    <col min="1545" max="1792" width="9.140625" style="647"/>
    <col min="1793" max="1793" width="3.42578125" style="647" customWidth="1"/>
    <col min="1794" max="1794" width="20.85546875" style="647" customWidth="1"/>
    <col min="1795" max="1795" width="36.42578125" style="647" customWidth="1"/>
    <col min="1796" max="1796" width="33.5703125" style="647" customWidth="1"/>
    <col min="1797" max="1797" width="13.7109375" style="647" customWidth="1"/>
    <col min="1798" max="1798" width="0" style="647" hidden="1" customWidth="1"/>
    <col min="1799" max="1800" width="11.42578125" style="647" bestFit="1" customWidth="1"/>
    <col min="1801" max="2048" width="9.140625" style="647"/>
    <col min="2049" max="2049" width="3.42578125" style="647" customWidth="1"/>
    <col min="2050" max="2050" width="20.85546875" style="647" customWidth="1"/>
    <col min="2051" max="2051" width="36.42578125" style="647" customWidth="1"/>
    <col min="2052" max="2052" width="33.5703125" style="647" customWidth="1"/>
    <col min="2053" max="2053" width="13.7109375" style="647" customWidth="1"/>
    <col min="2054" max="2054" width="0" style="647" hidden="1" customWidth="1"/>
    <col min="2055" max="2056" width="11.42578125" style="647" bestFit="1" customWidth="1"/>
    <col min="2057" max="2304" width="9.140625" style="647"/>
    <col min="2305" max="2305" width="3.42578125" style="647" customWidth="1"/>
    <col min="2306" max="2306" width="20.85546875" style="647" customWidth="1"/>
    <col min="2307" max="2307" width="36.42578125" style="647" customWidth="1"/>
    <col min="2308" max="2308" width="33.5703125" style="647" customWidth="1"/>
    <col min="2309" max="2309" width="13.7109375" style="647" customWidth="1"/>
    <col min="2310" max="2310" width="0" style="647" hidden="1" customWidth="1"/>
    <col min="2311" max="2312" width="11.42578125" style="647" bestFit="1" customWidth="1"/>
    <col min="2313" max="2560" width="9.140625" style="647"/>
    <col min="2561" max="2561" width="3.42578125" style="647" customWidth="1"/>
    <col min="2562" max="2562" width="20.85546875" style="647" customWidth="1"/>
    <col min="2563" max="2563" width="36.42578125" style="647" customWidth="1"/>
    <col min="2564" max="2564" width="33.5703125" style="647" customWidth="1"/>
    <col min="2565" max="2565" width="13.7109375" style="647" customWidth="1"/>
    <col min="2566" max="2566" width="0" style="647" hidden="1" customWidth="1"/>
    <col min="2567" max="2568" width="11.42578125" style="647" bestFit="1" customWidth="1"/>
    <col min="2569" max="2816" width="9.140625" style="647"/>
    <col min="2817" max="2817" width="3.42578125" style="647" customWidth="1"/>
    <col min="2818" max="2818" width="20.85546875" style="647" customWidth="1"/>
    <col min="2819" max="2819" width="36.42578125" style="647" customWidth="1"/>
    <col min="2820" max="2820" width="33.5703125" style="647" customWidth="1"/>
    <col min="2821" max="2821" width="13.7109375" style="647" customWidth="1"/>
    <col min="2822" max="2822" width="0" style="647" hidden="1" customWidth="1"/>
    <col min="2823" max="2824" width="11.42578125" style="647" bestFit="1" customWidth="1"/>
    <col min="2825" max="3072" width="9.140625" style="647"/>
    <col min="3073" max="3073" width="3.42578125" style="647" customWidth="1"/>
    <col min="3074" max="3074" width="20.85546875" style="647" customWidth="1"/>
    <col min="3075" max="3075" width="36.42578125" style="647" customWidth="1"/>
    <col min="3076" max="3076" width="33.5703125" style="647" customWidth="1"/>
    <col min="3077" max="3077" width="13.7109375" style="647" customWidth="1"/>
    <col min="3078" max="3078" width="0" style="647" hidden="1" customWidth="1"/>
    <col min="3079" max="3080" width="11.42578125" style="647" bestFit="1" customWidth="1"/>
    <col min="3081" max="3328" width="9.140625" style="647"/>
    <col min="3329" max="3329" width="3.42578125" style="647" customWidth="1"/>
    <col min="3330" max="3330" width="20.85546875" style="647" customWidth="1"/>
    <col min="3331" max="3331" width="36.42578125" style="647" customWidth="1"/>
    <col min="3332" max="3332" width="33.5703125" style="647" customWidth="1"/>
    <col min="3333" max="3333" width="13.7109375" style="647" customWidth="1"/>
    <col min="3334" max="3334" width="0" style="647" hidden="1" customWidth="1"/>
    <col min="3335" max="3336" width="11.42578125" style="647" bestFit="1" customWidth="1"/>
    <col min="3337" max="3584" width="9.140625" style="647"/>
    <col min="3585" max="3585" width="3.42578125" style="647" customWidth="1"/>
    <col min="3586" max="3586" width="20.85546875" style="647" customWidth="1"/>
    <col min="3587" max="3587" width="36.42578125" style="647" customWidth="1"/>
    <col min="3588" max="3588" width="33.5703125" style="647" customWidth="1"/>
    <col min="3589" max="3589" width="13.7109375" style="647" customWidth="1"/>
    <col min="3590" max="3590" width="0" style="647" hidden="1" customWidth="1"/>
    <col min="3591" max="3592" width="11.42578125" style="647" bestFit="1" customWidth="1"/>
    <col min="3593" max="3840" width="9.140625" style="647"/>
    <col min="3841" max="3841" width="3.42578125" style="647" customWidth="1"/>
    <col min="3842" max="3842" width="20.85546875" style="647" customWidth="1"/>
    <col min="3843" max="3843" width="36.42578125" style="647" customWidth="1"/>
    <col min="3844" max="3844" width="33.5703125" style="647" customWidth="1"/>
    <col min="3845" max="3845" width="13.7109375" style="647" customWidth="1"/>
    <col min="3846" max="3846" width="0" style="647" hidden="1" customWidth="1"/>
    <col min="3847" max="3848" width="11.42578125" style="647" bestFit="1" customWidth="1"/>
    <col min="3849" max="4096" width="9.140625" style="647"/>
    <col min="4097" max="4097" width="3.42578125" style="647" customWidth="1"/>
    <col min="4098" max="4098" width="20.85546875" style="647" customWidth="1"/>
    <col min="4099" max="4099" width="36.42578125" style="647" customWidth="1"/>
    <col min="4100" max="4100" width="33.5703125" style="647" customWidth="1"/>
    <col min="4101" max="4101" width="13.7109375" style="647" customWidth="1"/>
    <col min="4102" max="4102" width="0" style="647" hidden="1" customWidth="1"/>
    <col min="4103" max="4104" width="11.42578125" style="647" bestFit="1" customWidth="1"/>
    <col min="4105" max="4352" width="9.140625" style="647"/>
    <col min="4353" max="4353" width="3.42578125" style="647" customWidth="1"/>
    <col min="4354" max="4354" width="20.85546875" style="647" customWidth="1"/>
    <col min="4355" max="4355" width="36.42578125" style="647" customWidth="1"/>
    <col min="4356" max="4356" width="33.5703125" style="647" customWidth="1"/>
    <col min="4357" max="4357" width="13.7109375" style="647" customWidth="1"/>
    <col min="4358" max="4358" width="0" style="647" hidden="1" customWidth="1"/>
    <col min="4359" max="4360" width="11.42578125" style="647" bestFit="1" customWidth="1"/>
    <col min="4361" max="4608" width="9.140625" style="647"/>
    <col min="4609" max="4609" width="3.42578125" style="647" customWidth="1"/>
    <col min="4610" max="4610" width="20.85546875" style="647" customWidth="1"/>
    <col min="4611" max="4611" width="36.42578125" style="647" customWidth="1"/>
    <col min="4612" max="4612" width="33.5703125" style="647" customWidth="1"/>
    <col min="4613" max="4613" width="13.7109375" style="647" customWidth="1"/>
    <col min="4614" max="4614" width="0" style="647" hidden="1" customWidth="1"/>
    <col min="4615" max="4616" width="11.42578125" style="647" bestFit="1" customWidth="1"/>
    <col min="4617" max="4864" width="9.140625" style="647"/>
    <col min="4865" max="4865" width="3.42578125" style="647" customWidth="1"/>
    <col min="4866" max="4866" width="20.85546875" style="647" customWidth="1"/>
    <col min="4867" max="4867" width="36.42578125" style="647" customWidth="1"/>
    <col min="4868" max="4868" width="33.5703125" style="647" customWidth="1"/>
    <col min="4869" max="4869" width="13.7109375" style="647" customWidth="1"/>
    <col min="4870" max="4870" width="0" style="647" hidden="1" customWidth="1"/>
    <col min="4871" max="4872" width="11.42578125" style="647" bestFit="1" customWidth="1"/>
    <col min="4873" max="5120" width="9.140625" style="647"/>
    <col min="5121" max="5121" width="3.42578125" style="647" customWidth="1"/>
    <col min="5122" max="5122" width="20.85546875" style="647" customWidth="1"/>
    <col min="5123" max="5123" width="36.42578125" style="647" customWidth="1"/>
    <col min="5124" max="5124" width="33.5703125" style="647" customWidth="1"/>
    <col min="5125" max="5125" width="13.7109375" style="647" customWidth="1"/>
    <col min="5126" max="5126" width="0" style="647" hidden="1" customWidth="1"/>
    <col min="5127" max="5128" width="11.42578125" style="647" bestFit="1" customWidth="1"/>
    <col min="5129" max="5376" width="9.140625" style="647"/>
    <col min="5377" max="5377" width="3.42578125" style="647" customWidth="1"/>
    <col min="5378" max="5378" width="20.85546875" style="647" customWidth="1"/>
    <col min="5379" max="5379" width="36.42578125" style="647" customWidth="1"/>
    <col min="5380" max="5380" width="33.5703125" style="647" customWidth="1"/>
    <col min="5381" max="5381" width="13.7109375" style="647" customWidth="1"/>
    <col min="5382" max="5382" width="0" style="647" hidden="1" customWidth="1"/>
    <col min="5383" max="5384" width="11.42578125" style="647" bestFit="1" customWidth="1"/>
    <col min="5385" max="5632" width="9.140625" style="647"/>
    <col min="5633" max="5633" width="3.42578125" style="647" customWidth="1"/>
    <col min="5634" max="5634" width="20.85546875" style="647" customWidth="1"/>
    <col min="5635" max="5635" width="36.42578125" style="647" customWidth="1"/>
    <col min="5636" max="5636" width="33.5703125" style="647" customWidth="1"/>
    <col min="5637" max="5637" width="13.7109375" style="647" customWidth="1"/>
    <col min="5638" max="5638" width="0" style="647" hidden="1" customWidth="1"/>
    <col min="5639" max="5640" width="11.42578125" style="647" bestFit="1" customWidth="1"/>
    <col min="5641" max="5888" width="9.140625" style="647"/>
    <col min="5889" max="5889" width="3.42578125" style="647" customWidth="1"/>
    <col min="5890" max="5890" width="20.85546875" style="647" customWidth="1"/>
    <col min="5891" max="5891" width="36.42578125" style="647" customWidth="1"/>
    <col min="5892" max="5892" width="33.5703125" style="647" customWidth="1"/>
    <col min="5893" max="5893" width="13.7109375" style="647" customWidth="1"/>
    <col min="5894" max="5894" width="0" style="647" hidden="1" customWidth="1"/>
    <col min="5895" max="5896" width="11.42578125" style="647" bestFit="1" customWidth="1"/>
    <col min="5897" max="6144" width="9.140625" style="647"/>
    <col min="6145" max="6145" width="3.42578125" style="647" customWidth="1"/>
    <col min="6146" max="6146" width="20.85546875" style="647" customWidth="1"/>
    <col min="6147" max="6147" width="36.42578125" style="647" customWidth="1"/>
    <col min="6148" max="6148" width="33.5703125" style="647" customWidth="1"/>
    <col min="6149" max="6149" width="13.7109375" style="647" customWidth="1"/>
    <col min="6150" max="6150" width="0" style="647" hidden="1" customWidth="1"/>
    <col min="6151" max="6152" width="11.42578125" style="647" bestFit="1" customWidth="1"/>
    <col min="6153" max="6400" width="9.140625" style="647"/>
    <col min="6401" max="6401" width="3.42578125" style="647" customWidth="1"/>
    <col min="6402" max="6402" width="20.85546875" style="647" customWidth="1"/>
    <col min="6403" max="6403" width="36.42578125" style="647" customWidth="1"/>
    <col min="6404" max="6404" width="33.5703125" style="647" customWidth="1"/>
    <col min="6405" max="6405" width="13.7109375" style="647" customWidth="1"/>
    <col min="6406" max="6406" width="0" style="647" hidden="1" customWidth="1"/>
    <col min="6407" max="6408" width="11.42578125" style="647" bestFit="1" customWidth="1"/>
    <col min="6409" max="6656" width="9.140625" style="647"/>
    <col min="6657" max="6657" width="3.42578125" style="647" customWidth="1"/>
    <col min="6658" max="6658" width="20.85546875" style="647" customWidth="1"/>
    <col min="6659" max="6659" width="36.42578125" style="647" customWidth="1"/>
    <col min="6660" max="6660" width="33.5703125" style="647" customWidth="1"/>
    <col min="6661" max="6661" width="13.7109375" style="647" customWidth="1"/>
    <col min="6662" max="6662" width="0" style="647" hidden="1" customWidth="1"/>
    <col min="6663" max="6664" width="11.42578125" style="647" bestFit="1" customWidth="1"/>
    <col min="6665" max="6912" width="9.140625" style="647"/>
    <col min="6913" max="6913" width="3.42578125" style="647" customWidth="1"/>
    <col min="6914" max="6914" width="20.85546875" style="647" customWidth="1"/>
    <col min="6915" max="6915" width="36.42578125" style="647" customWidth="1"/>
    <col min="6916" max="6916" width="33.5703125" style="647" customWidth="1"/>
    <col min="6917" max="6917" width="13.7109375" style="647" customWidth="1"/>
    <col min="6918" max="6918" width="0" style="647" hidden="1" customWidth="1"/>
    <col min="6919" max="6920" width="11.42578125" style="647" bestFit="1" customWidth="1"/>
    <col min="6921" max="7168" width="9.140625" style="647"/>
    <col min="7169" max="7169" width="3.42578125" style="647" customWidth="1"/>
    <col min="7170" max="7170" width="20.85546875" style="647" customWidth="1"/>
    <col min="7171" max="7171" width="36.42578125" style="647" customWidth="1"/>
    <col min="7172" max="7172" width="33.5703125" style="647" customWidth="1"/>
    <col min="7173" max="7173" width="13.7109375" style="647" customWidth="1"/>
    <col min="7174" max="7174" width="0" style="647" hidden="1" customWidth="1"/>
    <col min="7175" max="7176" width="11.42578125" style="647" bestFit="1" customWidth="1"/>
    <col min="7177" max="7424" width="9.140625" style="647"/>
    <col min="7425" max="7425" width="3.42578125" style="647" customWidth="1"/>
    <col min="7426" max="7426" width="20.85546875" style="647" customWidth="1"/>
    <col min="7427" max="7427" width="36.42578125" style="647" customWidth="1"/>
    <col min="7428" max="7428" width="33.5703125" style="647" customWidth="1"/>
    <col min="7429" max="7429" width="13.7109375" style="647" customWidth="1"/>
    <col min="7430" max="7430" width="0" style="647" hidden="1" customWidth="1"/>
    <col min="7431" max="7432" width="11.42578125" style="647" bestFit="1" customWidth="1"/>
    <col min="7433" max="7680" width="9.140625" style="647"/>
    <col min="7681" max="7681" width="3.42578125" style="647" customWidth="1"/>
    <col min="7682" max="7682" width="20.85546875" style="647" customWidth="1"/>
    <col min="7683" max="7683" width="36.42578125" style="647" customWidth="1"/>
    <col min="7684" max="7684" width="33.5703125" style="647" customWidth="1"/>
    <col min="7685" max="7685" width="13.7109375" style="647" customWidth="1"/>
    <col min="7686" max="7686" width="0" style="647" hidden="1" customWidth="1"/>
    <col min="7687" max="7688" width="11.42578125" style="647" bestFit="1" customWidth="1"/>
    <col min="7689" max="7936" width="9.140625" style="647"/>
    <col min="7937" max="7937" width="3.42578125" style="647" customWidth="1"/>
    <col min="7938" max="7938" width="20.85546875" style="647" customWidth="1"/>
    <col min="7939" max="7939" width="36.42578125" style="647" customWidth="1"/>
    <col min="7940" max="7940" width="33.5703125" style="647" customWidth="1"/>
    <col min="7941" max="7941" width="13.7109375" style="647" customWidth="1"/>
    <col min="7942" max="7942" width="0" style="647" hidden="1" customWidth="1"/>
    <col min="7943" max="7944" width="11.42578125" style="647" bestFit="1" customWidth="1"/>
    <col min="7945" max="8192" width="9.140625" style="647"/>
    <col min="8193" max="8193" width="3.42578125" style="647" customWidth="1"/>
    <col min="8194" max="8194" width="20.85546875" style="647" customWidth="1"/>
    <col min="8195" max="8195" width="36.42578125" style="647" customWidth="1"/>
    <col min="8196" max="8196" width="33.5703125" style="647" customWidth="1"/>
    <col min="8197" max="8197" width="13.7109375" style="647" customWidth="1"/>
    <col min="8198" max="8198" width="0" style="647" hidden="1" customWidth="1"/>
    <col min="8199" max="8200" width="11.42578125" style="647" bestFit="1" customWidth="1"/>
    <col min="8201" max="8448" width="9.140625" style="647"/>
    <col min="8449" max="8449" width="3.42578125" style="647" customWidth="1"/>
    <col min="8450" max="8450" width="20.85546875" style="647" customWidth="1"/>
    <col min="8451" max="8451" width="36.42578125" style="647" customWidth="1"/>
    <col min="8452" max="8452" width="33.5703125" style="647" customWidth="1"/>
    <col min="8453" max="8453" width="13.7109375" style="647" customWidth="1"/>
    <col min="8454" max="8454" width="0" style="647" hidden="1" customWidth="1"/>
    <col min="8455" max="8456" width="11.42578125" style="647" bestFit="1" customWidth="1"/>
    <col min="8457" max="8704" width="9.140625" style="647"/>
    <col min="8705" max="8705" width="3.42578125" style="647" customWidth="1"/>
    <col min="8706" max="8706" width="20.85546875" style="647" customWidth="1"/>
    <col min="8707" max="8707" width="36.42578125" style="647" customWidth="1"/>
    <col min="8708" max="8708" width="33.5703125" style="647" customWidth="1"/>
    <col min="8709" max="8709" width="13.7109375" style="647" customWidth="1"/>
    <col min="8710" max="8710" width="0" style="647" hidden="1" customWidth="1"/>
    <col min="8711" max="8712" width="11.42578125" style="647" bestFit="1" customWidth="1"/>
    <col min="8713" max="8960" width="9.140625" style="647"/>
    <col min="8961" max="8961" width="3.42578125" style="647" customWidth="1"/>
    <col min="8962" max="8962" width="20.85546875" style="647" customWidth="1"/>
    <col min="8963" max="8963" width="36.42578125" style="647" customWidth="1"/>
    <col min="8964" max="8964" width="33.5703125" style="647" customWidth="1"/>
    <col min="8965" max="8965" width="13.7109375" style="647" customWidth="1"/>
    <col min="8966" max="8966" width="0" style="647" hidden="1" customWidth="1"/>
    <col min="8967" max="8968" width="11.42578125" style="647" bestFit="1" customWidth="1"/>
    <col min="8969" max="9216" width="9.140625" style="647"/>
    <col min="9217" max="9217" width="3.42578125" style="647" customWidth="1"/>
    <col min="9218" max="9218" width="20.85546875" style="647" customWidth="1"/>
    <col min="9219" max="9219" width="36.42578125" style="647" customWidth="1"/>
    <col min="9220" max="9220" width="33.5703125" style="647" customWidth="1"/>
    <col min="9221" max="9221" width="13.7109375" style="647" customWidth="1"/>
    <col min="9222" max="9222" width="0" style="647" hidden="1" customWidth="1"/>
    <col min="9223" max="9224" width="11.42578125" style="647" bestFit="1" customWidth="1"/>
    <col min="9225" max="9472" width="9.140625" style="647"/>
    <col min="9473" max="9473" width="3.42578125" style="647" customWidth="1"/>
    <col min="9474" max="9474" width="20.85546875" style="647" customWidth="1"/>
    <col min="9475" max="9475" width="36.42578125" style="647" customWidth="1"/>
    <col min="9476" max="9476" width="33.5703125" style="647" customWidth="1"/>
    <col min="9477" max="9477" width="13.7109375" style="647" customWidth="1"/>
    <col min="9478" max="9478" width="0" style="647" hidden="1" customWidth="1"/>
    <col min="9479" max="9480" width="11.42578125" style="647" bestFit="1" customWidth="1"/>
    <col min="9481" max="9728" width="9.140625" style="647"/>
    <col min="9729" max="9729" width="3.42578125" style="647" customWidth="1"/>
    <col min="9730" max="9730" width="20.85546875" style="647" customWidth="1"/>
    <col min="9731" max="9731" width="36.42578125" style="647" customWidth="1"/>
    <col min="9732" max="9732" width="33.5703125" style="647" customWidth="1"/>
    <col min="9733" max="9733" width="13.7109375" style="647" customWidth="1"/>
    <col min="9734" max="9734" width="0" style="647" hidden="1" customWidth="1"/>
    <col min="9735" max="9736" width="11.42578125" style="647" bestFit="1" customWidth="1"/>
    <col min="9737" max="9984" width="9.140625" style="647"/>
    <col min="9985" max="9985" width="3.42578125" style="647" customWidth="1"/>
    <col min="9986" max="9986" width="20.85546875" style="647" customWidth="1"/>
    <col min="9987" max="9987" width="36.42578125" style="647" customWidth="1"/>
    <col min="9988" max="9988" width="33.5703125" style="647" customWidth="1"/>
    <col min="9989" max="9989" width="13.7109375" style="647" customWidth="1"/>
    <col min="9990" max="9990" width="0" style="647" hidden="1" customWidth="1"/>
    <col min="9991" max="9992" width="11.42578125" style="647" bestFit="1" customWidth="1"/>
    <col min="9993" max="10240" width="9.140625" style="647"/>
    <col min="10241" max="10241" width="3.42578125" style="647" customWidth="1"/>
    <col min="10242" max="10242" width="20.85546875" style="647" customWidth="1"/>
    <col min="10243" max="10243" width="36.42578125" style="647" customWidth="1"/>
    <col min="10244" max="10244" width="33.5703125" style="647" customWidth="1"/>
    <col min="10245" max="10245" width="13.7109375" style="647" customWidth="1"/>
    <col min="10246" max="10246" width="0" style="647" hidden="1" customWidth="1"/>
    <col min="10247" max="10248" width="11.42578125" style="647" bestFit="1" customWidth="1"/>
    <col min="10249" max="10496" width="9.140625" style="647"/>
    <col min="10497" max="10497" width="3.42578125" style="647" customWidth="1"/>
    <col min="10498" max="10498" width="20.85546875" style="647" customWidth="1"/>
    <col min="10499" max="10499" width="36.42578125" style="647" customWidth="1"/>
    <col min="10500" max="10500" width="33.5703125" style="647" customWidth="1"/>
    <col min="10501" max="10501" width="13.7109375" style="647" customWidth="1"/>
    <col min="10502" max="10502" width="0" style="647" hidden="1" customWidth="1"/>
    <col min="10503" max="10504" width="11.42578125" style="647" bestFit="1" customWidth="1"/>
    <col min="10505" max="10752" width="9.140625" style="647"/>
    <col min="10753" max="10753" width="3.42578125" style="647" customWidth="1"/>
    <col min="10754" max="10754" width="20.85546875" style="647" customWidth="1"/>
    <col min="10755" max="10755" width="36.42578125" style="647" customWidth="1"/>
    <col min="10756" max="10756" width="33.5703125" style="647" customWidth="1"/>
    <col min="10757" max="10757" width="13.7109375" style="647" customWidth="1"/>
    <col min="10758" max="10758" width="0" style="647" hidden="1" customWidth="1"/>
    <col min="10759" max="10760" width="11.42578125" style="647" bestFit="1" customWidth="1"/>
    <col min="10761" max="11008" width="9.140625" style="647"/>
    <col min="11009" max="11009" width="3.42578125" style="647" customWidth="1"/>
    <col min="11010" max="11010" width="20.85546875" style="647" customWidth="1"/>
    <col min="11011" max="11011" width="36.42578125" style="647" customWidth="1"/>
    <col min="11012" max="11012" width="33.5703125" style="647" customWidth="1"/>
    <col min="11013" max="11013" width="13.7109375" style="647" customWidth="1"/>
    <col min="11014" max="11014" width="0" style="647" hidden="1" customWidth="1"/>
    <col min="11015" max="11016" width="11.42578125" style="647" bestFit="1" customWidth="1"/>
    <col min="11017" max="11264" width="9.140625" style="647"/>
    <col min="11265" max="11265" width="3.42578125" style="647" customWidth="1"/>
    <col min="11266" max="11266" width="20.85546875" style="647" customWidth="1"/>
    <col min="11267" max="11267" width="36.42578125" style="647" customWidth="1"/>
    <col min="11268" max="11268" width="33.5703125" style="647" customWidth="1"/>
    <col min="11269" max="11269" width="13.7109375" style="647" customWidth="1"/>
    <col min="11270" max="11270" width="0" style="647" hidden="1" customWidth="1"/>
    <col min="11271" max="11272" width="11.42578125" style="647" bestFit="1" customWidth="1"/>
    <col min="11273" max="11520" width="9.140625" style="647"/>
    <col min="11521" max="11521" width="3.42578125" style="647" customWidth="1"/>
    <col min="11522" max="11522" width="20.85546875" style="647" customWidth="1"/>
    <col min="11523" max="11523" width="36.42578125" style="647" customWidth="1"/>
    <col min="11524" max="11524" width="33.5703125" style="647" customWidth="1"/>
    <col min="11525" max="11525" width="13.7109375" style="647" customWidth="1"/>
    <col min="11526" max="11526" width="0" style="647" hidden="1" customWidth="1"/>
    <col min="11527" max="11528" width="11.42578125" style="647" bestFit="1" customWidth="1"/>
    <col min="11529" max="11776" width="9.140625" style="647"/>
    <col min="11777" max="11777" width="3.42578125" style="647" customWidth="1"/>
    <col min="11778" max="11778" width="20.85546875" style="647" customWidth="1"/>
    <col min="11779" max="11779" width="36.42578125" style="647" customWidth="1"/>
    <col min="11780" max="11780" width="33.5703125" style="647" customWidth="1"/>
    <col min="11781" max="11781" width="13.7109375" style="647" customWidth="1"/>
    <col min="11782" max="11782" width="0" style="647" hidden="1" customWidth="1"/>
    <col min="11783" max="11784" width="11.42578125" style="647" bestFit="1" customWidth="1"/>
    <col min="11785" max="12032" width="9.140625" style="647"/>
    <col min="12033" max="12033" width="3.42578125" style="647" customWidth="1"/>
    <col min="12034" max="12034" width="20.85546875" style="647" customWidth="1"/>
    <col min="12035" max="12035" width="36.42578125" style="647" customWidth="1"/>
    <col min="12036" max="12036" width="33.5703125" style="647" customWidth="1"/>
    <col min="12037" max="12037" width="13.7109375" style="647" customWidth="1"/>
    <col min="12038" max="12038" width="0" style="647" hidden="1" customWidth="1"/>
    <col min="12039" max="12040" width="11.42578125" style="647" bestFit="1" customWidth="1"/>
    <col min="12041" max="12288" width="9.140625" style="647"/>
    <col min="12289" max="12289" width="3.42578125" style="647" customWidth="1"/>
    <col min="12290" max="12290" width="20.85546875" style="647" customWidth="1"/>
    <col min="12291" max="12291" width="36.42578125" style="647" customWidth="1"/>
    <col min="12292" max="12292" width="33.5703125" style="647" customWidth="1"/>
    <col min="12293" max="12293" width="13.7109375" style="647" customWidth="1"/>
    <col min="12294" max="12294" width="0" style="647" hidden="1" customWidth="1"/>
    <col min="12295" max="12296" width="11.42578125" style="647" bestFit="1" customWidth="1"/>
    <col min="12297" max="12544" width="9.140625" style="647"/>
    <col min="12545" max="12545" width="3.42578125" style="647" customWidth="1"/>
    <col min="12546" max="12546" width="20.85546875" style="647" customWidth="1"/>
    <col min="12547" max="12547" width="36.42578125" style="647" customWidth="1"/>
    <col min="12548" max="12548" width="33.5703125" style="647" customWidth="1"/>
    <col min="12549" max="12549" width="13.7109375" style="647" customWidth="1"/>
    <col min="12550" max="12550" width="0" style="647" hidden="1" customWidth="1"/>
    <col min="12551" max="12552" width="11.42578125" style="647" bestFit="1" customWidth="1"/>
    <col min="12553" max="12800" width="9.140625" style="647"/>
    <col min="12801" max="12801" width="3.42578125" style="647" customWidth="1"/>
    <col min="12802" max="12802" width="20.85546875" style="647" customWidth="1"/>
    <col min="12803" max="12803" width="36.42578125" style="647" customWidth="1"/>
    <col min="12804" max="12804" width="33.5703125" style="647" customWidth="1"/>
    <col min="12805" max="12805" width="13.7109375" style="647" customWidth="1"/>
    <col min="12806" max="12806" width="0" style="647" hidden="1" customWidth="1"/>
    <col min="12807" max="12808" width="11.42578125" style="647" bestFit="1" customWidth="1"/>
    <col min="12809" max="13056" width="9.140625" style="647"/>
    <col min="13057" max="13057" width="3.42578125" style="647" customWidth="1"/>
    <col min="13058" max="13058" width="20.85546875" style="647" customWidth="1"/>
    <col min="13059" max="13059" width="36.42578125" style="647" customWidth="1"/>
    <col min="13060" max="13060" width="33.5703125" style="647" customWidth="1"/>
    <col min="13061" max="13061" width="13.7109375" style="647" customWidth="1"/>
    <col min="13062" max="13062" width="0" style="647" hidden="1" customWidth="1"/>
    <col min="13063" max="13064" width="11.42578125" style="647" bestFit="1" customWidth="1"/>
    <col min="13065" max="13312" width="9.140625" style="647"/>
    <col min="13313" max="13313" width="3.42578125" style="647" customWidth="1"/>
    <col min="13314" max="13314" width="20.85546875" style="647" customWidth="1"/>
    <col min="13315" max="13315" width="36.42578125" style="647" customWidth="1"/>
    <col min="13316" max="13316" width="33.5703125" style="647" customWidth="1"/>
    <col min="13317" max="13317" width="13.7109375" style="647" customWidth="1"/>
    <col min="13318" max="13318" width="0" style="647" hidden="1" customWidth="1"/>
    <col min="13319" max="13320" width="11.42578125" style="647" bestFit="1" customWidth="1"/>
    <col min="13321" max="13568" width="9.140625" style="647"/>
    <col min="13569" max="13569" width="3.42578125" style="647" customWidth="1"/>
    <col min="13570" max="13570" width="20.85546875" style="647" customWidth="1"/>
    <col min="13571" max="13571" width="36.42578125" style="647" customWidth="1"/>
    <col min="13572" max="13572" width="33.5703125" style="647" customWidth="1"/>
    <col min="13573" max="13573" width="13.7109375" style="647" customWidth="1"/>
    <col min="13574" max="13574" width="0" style="647" hidden="1" customWidth="1"/>
    <col min="13575" max="13576" width="11.42578125" style="647" bestFit="1" customWidth="1"/>
    <col min="13577" max="13824" width="9.140625" style="647"/>
    <col min="13825" max="13825" width="3.42578125" style="647" customWidth="1"/>
    <col min="13826" max="13826" width="20.85546875" style="647" customWidth="1"/>
    <col min="13827" max="13827" width="36.42578125" style="647" customWidth="1"/>
    <col min="13828" max="13828" width="33.5703125" style="647" customWidth="1"/>
    <col min="13829" max="13829" width="13.7109375" style="647" customWidth="1"/>
    <col min="13830" max="13830" width="0" style="647" hidden="1" customWidth="1"/>
    <col min="13831" max="13832" width="11.42578125" style="647" bestFit="1" customWidth="1"/>
    <col min="13833" max="14080" width="9.140625" style="647"/>
    <col min="14081" max="14081" width="3.42578125" style="647" customWidth="1"/>
    <col min="14082" max="14082" width="20.85546875" style="647" customWidth="1"/>
    <col min="14083" max="14083" width="36.42578125" style="647" customWidth="1"/>
    <col min="14084" max="14084" width="33.5703125" style="647" customWidth="1"/>
    <col min="14085" max="14085" width="13.7109375" style="647" customWidth="1"/>
    <col min="14086" max="14086" width="0" style="647" hidden="1" customWidth="1"/>
    <col min="14087" max="14088" width="11.42578125" style="647" bestFit="1" customWidth="1"/>
    <col min="14089" max="14336" width="9.140625" style="647"/>
    <col min="14337" max="14337" width="3.42578125" style="647" customWidth="1"/>
    <col min="14338" max="14338" width="20.85546875" style="647" customWidth="1"/>
    <col min="14339" max="14339" width="36.42578125" style="647" customWidth="1"/>
    <col min="14340" max="14340" width="33.5703125" style="647" customWidth="1"/>
    <col min="14341" max="14341" width="13.7109375" style="647" customWidth="1"/>
    <col min="14342" max="14342" width="0" style="647" hidden="1" customWidth="1"/>
    <col min="14343" max="14344" width="11.42578125" style="647" bestFit="1" customWidth="1"/>
    <col min="14345" max="14592" width="9.140625" style="647"/>
    <col min="14593" max="14593" width="3.42578125" style="647" customWidth="1"/>
    <col min="14594" max="14594" width="20.85546875" style="647" customWidth="1"/>
    <col min="14595" max="14595" width="36.42578125" style="647" customWidth="1"/>
    <col min="14596" max="14596" width="33.5703125" style="647" customWidth="1"/>
    <col min="14597" max="14597" width="13.7109375" style="647" customWidth="1"/>
    <col min="14598" max="14598" width="0" style="647" hidden="1" customWidth="1"/>
    <col min="14599" max="14600" width="11.42578125" style="647" bestFit="1" customWidth="1"/>
    <col min="14601" max="14848" width="9.140625" style="647"/>
    <col min="14849" max="14849" width="3.42578125" style="647" customWidth="1"/>
    <col min="14850" max="14850" width="20.85546875" style="647" customWidth="1"/>
    <col min="14851" max="14851" width="36.42578125" style="647" customWidth="1"/>
    <col min="14852" max="14852" width="33.5703125" style="647" customWidth="1"/>
    <col min="14853" max="14853" width="13.7109375" style="647" customWidth="1"/>
    <col min="14854" max="14854" width="0" style="647" hidden="1" customWidth="1"/>
    <col min="14855" max="14856" width="11.42578125" style="647" bestFit="1" customWidth="1"/>
    <col min="14857" max="15104" width="9.140625" style="647"/>
    <col min="15105" max="15105" width="3.42578125" style="647" customWidth="1"/>
    <col min="15106" max="15106" width="20.85546875" style="647" customWidth="1"/>
    <col min="15107" max="15107" width="36.42578125" style="647" customWidth="1"/>
    <col min="15108" max="15108" width="33.5703125" style="647" customWidth="1"/>
    <col min="15109" max="15109" width="13.7109375" style="647" customWidth="1"/>
    <col min="15110" max="15110" width="0" style="647" hidden="1" customWidth="1"/>
    <col min="15111" max="15112" width="11.42578125" style="647" bestFit="1" customWidth="1"/>
    <col min="15113" max="15360" width="9.140625" style="647"/>
    <col min="15361" max="15361" width="3.42578125" style="647" customWidth="1"/>
    <col min="15362" max="15362" width="20.85546875" style="647" customWidth="1"/>
    <col min="15363" max="15363" width="36.42578125" style="647" customWidth="1"/>
    <col min="15364" max="15364" width="33.5703125" style="647" customWidth="1"/>
    <col min="15365" max="15365" width="13.7109375" style="647" customWidth="1"/>
    <col min="15366" max="15366" width="0" style="647" hidden="1" customWidth="1"/>
    <col min="15367" max="15368" width="11.42578125" style="647" bestFit="1" customWidth="1"/>
    <col min="15369" max="15616" width="9.140625" style="647"/>
    <col min="15617" max="15617" width="3.42578125" style="647" customWidth="1"/>
    <col min="15618" max="15618" width="20.85546875" style="647" customWidth="1"/>
    <col min="15619" max="15619" width="36.42578125" style="647" customWidth="1"/>
    <col min="15620" max="15620" width="33.5703125" style="647" customWidth="1"/>
    <col min="15621" max="15621" width="13.7109375" style="647" customWidth="1"/>
    <col min="15622" max="15622" width="0" style="647" hidden="1" customWidth="1"/>
    <col min="15623" max="15624" width="11.42578125" style="647" bestFit="1" customWidth="1"/>
    <col min="15625" max="15872" width="9.140625" style="647"/>
    <col min="15873" max="15873" width="3.42578125" style="647" customWidth="1"/>
    <col min="15874" max="15874" width="20.85546875" style="647" customWidth="1"/>
    <col min="15875" max="15875" width="36.42578125" style="647" customWidth="1"/>
    <col min="15876" max="15876" width="33.5703125" style="647" customWidth="1"/>
    <col min="15877" max="15877" width="13.7109375" style="647" customWidth="1"/>
    <col min="15878" max="15878" width="0" style="647" hidden="1" customWidth="1"/>
    <col min="15879" max="15880" width="11.42578125" style="647" bestFit="1" customWidth="1"/>
    <col min="15881" max="16128" width="9.140625" style="647"/>
    <col min="16129" max="16129" width="3.42578125" style="647" customWidth="1"/>
    <col min="16130" max="16130" width="20.85546875" style="647" customWidth="1"/>
    <col min="16131" max="16131" width="36.42578125" style="647" customWidth="1"/>
    <col min="16132" max="16132" width="33.5703125" style="647" customWidth="1"/>
    <col min="16133" max="16133" width="13.7109375" style="647" customWidth="1"/>
    <col min="16134" max="16134" width="0" style="647" hidden="1" customWidth="1"/>
    <col min="16135" max="16136" width="11.42578125" style="647" bestFit="1" customWidth="1"/>
    <col min="16137" max="16384" width="9.140625" style="647"/>
  </cols>
  <sheetData>
    <row r="1" spans="1:12" s="634" customFormat="1" ht="15.75" customHeight="1" x14ac:dyDescent="0.25">
      <c r="A1" s="632"/>
      <c r="B1" s="633"/>
      <c r="D1" s="633"/>
    </row>
    <row r="2" spans="1:12" s="592" customFormat="1" ht="11.25" x14ac:dyDescent="0.2">
      <c r="B2" s="635"/>
      <c r="E2" s="592" t="s">
        <v>523</v>
      </c>
    </row>
    <row r="3" spans="1:12" s="592" customFormat="1" ht="17.25" customHeight="1" x14ac:dyDescent="0.2">
      <c r="B3" s="706" t="s">
        <v>129</v>
      </c>
      <c r="C3" s="706"/>
      <c r="D3" s="707" t="s">
        <v>130</v>
      </c>
      <c r="E3" s="707"/>
    </row>
    <row r="4" spans="1:12" s="592" customFormat="1" ht="9" customHeight="1" x14ac:dyDescent="0.2">
      <c r="B4" s="708"/>
      <c r="C4" s="708"/>
      <c r="D4" s="709"/>
      <c r="E4" s="709"/>
    </row>
    <row r="5" spans="1:12" s="592" customFormat="1" ht="17.25" customHeight="1" x14ac:dyDescent="0.2">
      <c r="B5" s="710" t="s">
        <v>468</v>
      </c>
      <c r="C5" s="710"/>
      <c r="D5" s="711" t="s">
        <v>468</v>
      </c>
      <c r="E5" s="711"/>
    </row>
    <row r="6" spans="1:12" s="592" customFormat="1" ht="17.25" customHeight="1" x14ac:dyDescent="0.2">
      <c r="B6" s="710"/>
      <c r="C6" s="710"/>
      <c r="D6" s="711"/>
      <c r="E6" s="711"/>
    </row>
    <row r="7" spans="1:12" s="592" customFormat="1" ht="17.25" customHeight="1" x14ac:dyDescent="0.2">
      <c r="B7" s="710" t="s">
        <v>469</v>
      </c>
      <c r="C7" s="710"/>
      <c r="D7" s="711" t="s">
        <v>469</v>
      </c>
      <c r="E7" s="711"/>
    </row>
    <row r="8" spans="1:12" s="637" customFormat="1" ht="18" customHeight="1" x14ac:dyDescent="0.3">
      <c r="A8" s="712"/>
      <c r="B8" s="712"/>
      <c r="C8" s="712"/>
      <c r="D8" s="712"/>
      <c r="E8" s="713"/>
      <c r="F8" s="636"/>
    </row>
    <row r="9" spans="1:12" s="637" customFormat="1" ht="18" customHeight="1" x14ac:dyDescent="0.3">
      <c r="A9" s="705" t="s">
        <v>554</v>
      </c>
      <c r="B9" s="705"/>
      <c r="C9" s="705"/>
      <c r="D9" s="705"/>
      <c r="E9" s="705"/>
      <c r="F9" s="636"/>
    </row>
    <row r="10" spans="1:12" s="637" customFormat="1" ht="18" customHeight="1" x14ac:dyDescent="0.25">
      <c r="A10" s="639"/>
      <c r="B10" s="690" t="s">
        <v>525</v>
      </c>
      <c r="C10" s="690"/>
      <c r="D10" s="690"/>
      <c r="E10" s="690"/>
      <c r="F10" s="636"/>
    </row>
    <row r="11" spans="1:12" s="643" customFormat="1" ht="50.25" customHeight="1" x14ac:dyDescent="0.2">
      <c r="A11" s="691" t="s">
        <v>526</v>
      </c>
      <c r="B11" s="691"/>
      <c r="C11" s="691"/>
      <c r="D11" s="691"/>
      <c r="E11" s="691"/>
      <c r="F11" s="691"/>
      <c r="G11" s="640"/>
      <c r="H11" s="640"/>
      <c r="I11" s="641"/>
      <c r="J11" s="642"/>
      <c r="K11" s="642"/>
      <c r="L11" s="642"/>
    </row>
    <row r="12" spans="1:12" ht="21" customHeight="1" x14ac:dyDescent="0.25">
      <c r="A12" s="644" t="s">
        <v>109</v>
      </c>
      <c r="B12" s="692"/>
      <c r="C12" s="692"/>
      <c r="D12" s="692"/>
      <c r="E12" s="692"/>
      <c r="F12" s="645"/>
      <c r="G12" s="645"/>
      <c r="H12" s="645"/>
      <c r="I12" s="646"/>
      <c r="J12" s="646"/>
      <c r="K12" s="646"/>
    </row>
    <row r="13" spans="1:12" ht="8.25" hidden="1" customHeight="1" x14ac:dyDescent="0.25">
      <c r="A13" s="648"/>
    </row>
    <row r="14" spans="1:12" s="650" customFormat="1" ht="43.5" customHeight="1" x14ac:dyDescent="0.2">
      <c r="A14" s="693" t="s">
        <v>62</v>
      </c>
      <c r="B14" s="693" t="s">
        <v>528</v>
      </c>
      <c r="C14" s="694" t="s">
        <v>529</v>
      </c>
      <c r="D14" s="649" t="s">
        <v>530</v>
      </c>
      <c r="E14" s="693" t="s">
        <v>531</v>
      </c>
    </row>
    <row r="15" spans="1:12" s="650" customFormat="1" ht="18" customHeight="1" x14ac:dyDescent="0.2">
      <c r="A15" s="693"/>
      <c r="B15" s="693"/>
      <c r="C15" s="694"/>
      <c r="D15" s="649" t="s">
        <v>532</v>
      </c>
      <c r="E15" s="693"/>
    </row>
    <row r="16" spans="1:12" ht="18.75" hidden="1" customHeight="1" x14ac:dyDescent="0.25">
      <c r="A16" s="695" t="s">
        <v>533</v>
      </c>
      <c r="B16" s="696"/>
      <c r="C16" s="696"/>
      <c r="D16" s="696"/>
      <c r="E16" s="697"/>
    </row>
    <row r="17" spans="1:7" s="657" customFormat="1" ht="248.25" hidden="1" customHeight="1" x14ac:dyDescent="0.2">
      <c r="A17" s="651" t="s">
        <v>383</v>
      </c>
      <c r="B17" s="652" t="s">
        <v>534</v>
      </c>
      <c r="C17" s="653" t="s">
        <v>535</v>
      </c>
      <c r="D17" s="654" t="s">
        <v>536</v>
      </c>
      <c r="E17" s="655">
        <f>(6580+4+0.7)*2*1.25</f>
        <v>16461.75</v>
      </c>
      <c r="F17" s="656"/>
    </row>
    <row r="18" spans="1:7" s="660" customFormat="1" ht="21" hidden="1" customHeight="1" x14ac:dyDescent="0.2">
      <c r="A18" s="698" t="s">
        <v>537</v>
      </c>
      <c r="B18" s="699"/>
      <c r="C18" s="699"/>
      <c r="D18" s="700"/>
      <c r="E18" s="658"/>
      <c r="F18" s="659"/>
    </row>
    <row r="19" spans="1:7" ht="18.75" customHeight="1" x14ac:dyDescent="0.25">
      <c r="A19" s="695" t="s">
        <v>538</v>
      </c>
      <c r="B19" s="696"/>
      <c r="C19" s="696"/>
      <c r="D19" s="696"/>
      <c r="E19" s="697"/>
    </row>
    <row r="20" spans="1:7" s="657" customFormat="1" ht="123.75" customHeight="1" x14ac:dyDescent="0.2">
      <c r="A20" s="651" t="s">
        <v>383</v>
      </c>
      <c r="B20" s="701" t="s">
        <v>539</v>
      </c>
      <c r="C20" s="661" t="s">
        <v>540</v>
      </c>
      <c r="D20" s="662" t="s">
        <v>541</v>
      </c>
      <c r="E20" s="663">
        <f xml:space="preserve">
(55.88+189.64*1.34)
*1000</f>
        <v>309997.60000000003</v>
      </c>
      <c r="F20" s="656"/>
      <c r="G20" s="657">
        <f>1700*70/10000</f>
        <v>11.9</v>
      </c>
    </row>
    <row r="21" spans="1:7" s="657" customFormat="1" ht="102" x14ac:dyDescent="0.2">
      <c r="A21" s="651" t="s">
        <v>387</v>
      </c>
      <c r="B21" s="702"/>
      <c r="C21" s="661" t="s">
        <v>555</v>
      </c>
      <c r="D21" s="662" t="s">
        <v>556</v>
      </c>
      <c r="E21" s="663">
        <f>E20*0.4</f>
        <v>123999.04000000002</v>
      </c>
      <c r="F21" s="656"/>
    </row>
    <row r="22" spans="1:7" s="657" customFormat="1" ht="178.5" customHeight="1" x14ac:dyDescent="0.2">
      <c r="A22" s="651" t="s">
        <v>544</v>
      </c>
      <c r="B22" s="703"/>
      <c r="C22" s="661" t="s">
        <v>551</v>
      </c>
      <c r="D22" s="662" t="s">
        <v>557</v>
      </c>
      <c r="E22" s="663">
        <f>E21*0.11</f>
        <v>13639.894400000003</v>
      </c>
      <c r="F22" s="656"/>
    </row>
    <row r="23" spans="1:7" s="666" customFormat="1" ht="15" customHeight="1" x14ac:dyDescent="0.2">
      <c r="A23" s="683" t="s">
        <v>545</v>
      </c>
      <c r="B23" s="684"/>
      <c r="C23" s="684"/>
      <c r="D23" s="704"/>
      <c r="E23" s="664">
        <f>E22</f>
        <v>13639.894400000003</v>
      </c>
      <c r="F23" s="665"/>
    </row>
    <row r="24" spans="1:7" s="670" customFormat="1" ht="20.25" hidden="1" customHeight="1" x14ac:dyDescent="0.25">
      <c r="A24" s="687" t="s">
        <v>546</v>
      </c>
      <c r="B24" s="688"/>
      <c r="C24" s="688"/>
      <c r="D24" s="689"/>
      <c r="E24" s="667">
        <f>E23</f>
        <v>13639.894400000003</v>
      </c>
      <c r="F24" s="668"/>
      <c r="G24" s="669"/>
    </row>
    <row r="25" spans="1:7" s="673" customFormat="1" ht="34.5" customHeight="1" x14ac:dyDescent="0.25">
      <c r="A25" s="683" t="s">
        <v>553</v>
      </c>
      <c r="B25" s="684"/>
      <c r="C25" s="684"/>
      <c r="D25" s="684"/>
      <c r="E25" s="664">
        <f>E23*3.83</f>
        <v>52240.795552000011</v>
      </c>
      <c r="F25" s="671"/>
      <c r="G25" s="672"/>
    </row>
    <row r="26" spans="1:7" s="673" customFormat="1" ht="34.5" customHeight="1" x14ac:dyDescent="0.25">
      <c r="A26" s="683" t="s">
        <v>50</v>
      </c>
      <c r="B26" s="684"/>
      <c r="C26" s="684"/>
      <c r="D26" s="684"/>
      <c r="E26" s="664">
        <f>E25*0.18</f>
        <v>9403.3431993600007</v>
      </c>
      <c r="F26" s="671"/>
      <c r="G26" s="672"/>
    </row>
    <row r="27" spans="1:7" s="673" customFormat="1" ht="34.5" customHeight="1" x14ac:dyDescent="0.25">
      <c r="A27" s="683" t="s">
        <v>547</v>
      </c>
      <c r="B27" s="684"/>
      <c r="C27" s="684"/>
      <c r="D27" s="684"/>
      <c r="E27" s="664">
        <f>E25+E26</f>
        <v>61644.138751360013</v>
      </c>
      <c r="F27" s="671"/>
      <c r="G27" s="672"/>
    </row>
    <row r="28" spans="1:7" ht="19.5" customHeight="1" x14ac:dyDescent="0.25">
      <c r="A28" s="685"/>
      <c r="B28" s="685"/>
      <c r="C28" s="685"/>
      <c r="D28" s="685"/>
      <c r="E28" s="685"/>
      <c r="F28" s="685"/>
    </row>
    <row r="29" spans="1:7" ht="20.25" customHeight="1" x14ac:dyDescent="0.25">
      <c r="A29" s="686"/>
      <c r="B29" s="686"/>
      <c r="C29" s="686"/>
      <c r="D29" s="686"/>
      <c r="E29" s="686"/>
    </row>
    <row r="30" spans="1:7" s="675" customFormat="1" ht="22.5" customHeight="1" x14ac:dyDescent="0.2">
      <c r="A30" s="674" t="s">
        <v>548</v>
      </c>
      <c r="B30" s="674"/>
      <c r="C30" s="674" t="s">
        <v>549</v>
      </c>
    </row>
    <row r="31" spans="1:7" s="675" customFormat="1" ht="11.25" customHeight="1" x14ac:dyDescent="0.2">
      <c r="A31" s="675" t="s">
        <v>550</v>
      </c>
    </row>
    <row r="32" spans="1:7" x14ac:dyDescent="0.25">
      <c r="A32" s="666"/>
      <c r="B32" s="680"/>
      <c r="C32" s="680"/>
      <c r="D32" s="681"/>
      <c r="E32" s="681"/>
    </row>
    <row r="33" spans="1:6" s="677" customFormat="1" ht="3" customHeight="1" x14ac:dyDescent="0.25">
      <c r="A33" s="681"/>
      <c r="B33" s="681"/>
      <c r="C33" s="681"/>
      <c r="D33" s="681"/>
      <c r="E33" s="681"/>
    </row>
    <row r="34" spans="1:6" s="666" customFormat="1" ht="18.75" hidden="1" customHeight="1" x14ac:dyDescent="0.2">
      <c r="A34" s="681"/>
      <c r="B34" s="681"/>
      <c r="C34" s="681"/>
      <c r="D34" s="681"/>
      <c r="E34" s="681"/>
      <c r="F34" s="680"/>
    </row>
    <row r="35" spans="1:6" s="666" customFormat="1" ht="18.75" hidden="1" customHeight="1" x14ac:dyDescent="0.2">
      <c r="A35" s="678"/>
      <c r="B35" s="678"/>
      <c r="C35" s="679"/>
      <c r="D35" s="679"/>
      <c r="E35" s="679"/>
      <c r="F35" s="680"/>
    </row>
    <row r="36" spans="1:6" s="666" customFormat="1" ht="28.5" hidden="1" customHeight="1" x14ac:dyDescent="0.25">
      <c r="A36" s="681"/>
      <c r="B36" s="681"/>
      <c r="C36" s="681"/>
      <c r="D36" s="681"/>
      <c r="E36" s="681"/>
      <c r="F36" s="647"/>
    </row>
    <row r="37" spans="1:6" s="666" customFormat="1" ht="15.6" hidden="1" customHeight="1" x14ac:dyDescent="0.2">
      <c r="A37" s="680"/>
      <c r="B37" s="680"/>
      <c r="C37" s="680"/>
      <c r="D37" s="680"/>
      <c r="E37" s="680"/>
      <c r="F37" s="680"/>
    </row>
    <row r="38" spans="1:6" ht="31.15" customHeight="1" x14ac:dyDescent="0.25">
      <c r="A38" s="682"/>
      <c r="B38" s="682"/>
      <c r="C38" s="682"/>
      <c r="D38" s="682"/>
      <c r="E38" s="680"/>
    </row>
    <row r="39" spans="1:6" x14ac:dyDescent="0.25">
      <c r="A39" s="679"/>
      <c r="B39" s="679"/>
      <c r="C39" s="679"/>
      <c r="D39" s="679"/>
      <c r="E39" s="679"/>
    </row>
    <row r="40" spans="1:6" x14ac:dyDescent="0.25">
      <c r="A40" s="679"/>
      <c r="B40" s="679"/>
      <c r="C40" s="679"/>
      <c r="D40" s="679"/>
      <c r="E40" s="679"/>
    </row>
  </sheetData>
  <mergeCells count="35">
    <mergeCell ref="A9:E9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A8:E8"/>
    <mergeCell ref="A24:D24"/>
    <mergeCell ref="B10:E10"/>
    <mergeCell ref="A11:F11"/>
    <mergeCell ref="B12:E12"/>
    <mergeCell ref="A14:A15"/>
    <mergeCell ref="B14:B15"/>
    <mergeCell ref="C14:C15"/>
    <mergeCell ref="E14:E15"/>
    <mergeCell ref="A16:E16"/>
    <mergeCell ref="A18:D18"/>
    <mergeCell ref="A19:E19"/>
    <mergeCell ref="B20:B22"/>
    <mergeCell ref="A23:D23"/>
    <mergeCell ref="A33:E33"/>
    <mergeCell ref="A34:E34"/>
    <mergeCell ref="A36:E36"/>
    <mergeCell ref="A38:D38"/>
    <mergeCell ref="A25:D25"/>
    <mergeCell ref="A26:D26"/>
    <mergeCell ref="A27:D27"/>
    <mergeCell ref="A28:F28"/>
    <mergeCell ref="A29:E29"/>
    <mergeCell ref="D32:E32"/>
  </mergeCells>
  <printOptions horizontalCentered="1"/>
  <pageMargins left="1.1811023622047245" right="0.39370078740157483" top="0.35433070866141736" bottom="0.31496062992125984" header="0.31496062992125984" footer="0.31496062992125984"/>
  <pageSetup paperSize="9" scale="7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M58"/>
  <sheetViews>
    <sheetView topLeftCell="A31" zoomScale="90" zoomScaleNormal="90" zoomScaleSheetLayoutView="70" workbookViewId="0">
      <selection activeCell="H25" sqref="H25"/>
    </sheetView>
  </sheetViews>
  <sheetFormatPr defaultRowHeight="12.75" x14ac:dyDescent="0.2"/>
  <cols>
    <col min="1" max="1" width="9.140625" style="125"/>
    <col min="2" max="2" width="19.28515625" style="125" customWidth="1"/>
    <col min="3" max="3" width="22.140625" style="125" customWidth="1"/>
    <col min="4" max="4" width="46.42578125" style="125" customWidth="1"/>
    <col min="5" max="5" width="15.85546875" style="125" customWidth="1"/>
    <col min="6" max="6" width="18.5703125" style="125" customWidth="1"/>
    <col min="7" max="7" width="12.7109375" style="125" customWidth="1"/>
    <col min="8" max="8" width="18.28515625" style="125" customWidth="1"/>
    <col min="9" max="9" width="14.28515625" style="125" customWidth="1"/>
    <col min="10" max="257" width="9.140625" style="125"/>
    <col min="258" max="258" width="19.28515625" style="125" customWidth="1"/>
    <col min="259" max="259" width="22.140625" style="125" customWidth="1"/>
    <col min="260" max="260" width="46.42578125" style="125" customWidth="1"/>
    <col min="261" max="261" width="15.85546875" style="125" customWidth="1"/>
    <col min="262" max="262" width="18.5703125" style="125" customWidth="1"/>
    <col min="263" max="263" width="12.7109375" style="125" customWidth="1"/>
    <col min="264" max="264" width="18.28515625" style="125" customWidth="1"/>
    <col min="265" max="265" width="14.28515625" style="125" customWidth="1"/>
    <col min="266" max="513" width="9.140625" style="125"/>
    <col min="514" max="514" width="19.28515625" style="125" customWidth="1"/>
    <col min="515" max="515" width="22.140625" style="125" customWidth="1"/>
    <col min="516" max="516" width="46.42578125" style="125" customWidth="1"/>
    <col min="517" max="517" width="15.85546875" style="125" customWidth="1"/>
    <col min="518" max="518" width="18.5703125" style="125" customWidth="1"/>
    <col min="519" max="519" width="12.7109375" style="125" customWidth="1"/>
    <col min="520" max="520" width="18.28515625" style="125" customWidth="1"/>
    <col min="521" max="521" width="14.28515625" style="125" customWidth="1"/>
    <col min="522" max="769" width="9.140625" style="125"/>
    <col min="770" max="770" width="19.28515625" style="125" customWidth="1"/>
    <col min="771" max="771" width="22.140625" style="125" customWidth="1"/>
    <col min="772" max="772" width="46.42578125" style="125" customWidth="1"/>
    <col min="773" max="773" width="15.85546875" style="125" customWidth="1"/>
    <col min="774" max="774" width="18.5703125" style="125" customWidth="1"/>
    <col min="775" max="775" width="12.7109375" style="125" customWidth="1"/>
    <col min="776" max="776" width="18.28515625" style="125" customWidth="1"/>
    <col min="777" max="777" width="14.28515625" style="125" customWidth="1"/>
    <col min="778" max="1025" width="9.140625" style="125"/>
    <col min="1026" max="1026" width="19.28515625" style="125" customWidth="1"/>
    <col min="1027" max="1027" width="22.140625" style="125" customWidth="1"/>
    <col min="1028" max="1028" width="46.42578125" style="125" customWidth="1"/>
    <col min="1029" max="1029" width="15.85546875" style="125" customWidth="1"/>
    <col min="1030" max="1030" width="18.5703125" style="125" customWidth="1"/>
    <col min="1031" max="1031" width="12.7109375" style="125" customWidth="1"/>
    <col min="1032" max="1032" width="18.28515625" style="125" customWidth="1"/>
    <col min="1033" max="1033" width="14.28515625" style="125" customWidth="1"/>
    <col min="1034" max="1281" width="9.140625" style="125"/>
    <col min="1282" max="1282" width="19.28515625" style="125" customWidth="1"/>
    <col min="1283" max="1283" width="22.140625" style="125" customWidth="1"/>
    <col min="1284" max="1284" width="46.42578125" style="125" customWidth="1"/>
    <col min="1285" max="1285" width="15.85546875" style="125" customWidth="1"/>
    <col min="1286" max="1286" width="18.5703125" style="125" customWidth="1"/>
    <col min="1287" max="1287" width="12.7109375" style="125" customWidth="1"/>
    <col min="1288" max="1288" width="18.28515625" style="125" customWidth="1"/>
    <col min="1289" max="1289" width="14.28515625" style="125" customWidth="1"/>
    <col min="1290" max="1537" width="9.140625" style="125"/>
    <col min="1538" max="1538" width="19.28515625" style="125" customWidth="1"/>
    <col min="1539" max="1539" width="22.140625" style="125" customWidth="1"/>
    <col min="1540" max="1540" width="46.42578125" style="125" customWidth="1"/>
    <col min="1541" max="1541" width="15.85546875" style="125" customWidth="1"/>
    <col min="1542" max="1542" width="18.5703125" style="125" customWidth="1"/>
    <col min="1543" max="1543" width="12.7109375" style="125" customWidth="1"/>
    <col min="1544" max="1544" width="18.28515625" style="125" customWidth="1"/>
    <col min="1545" max="1545" width="14.28515625" style="125" customWidth="1"/>
    <col min="1546" max="1793" width="9.140625" style="125"/>
    <col min="1794" max="1794" width="19.28515625" style="125" customWidth="1"/>
    <col min="1795" max="1795" width="22.140625" style="125" customWidth="1"/>
    <col min="1796" max="1796" width="46.42578125" style="125" customWidth="1"/>
    <col min="1797" max="1797" width="15.85546875" style="125" customWidth="1"/>
    <col min="1798" max="1798" width="18.5703125" style="125" customWidth="1"/>
    <col min="1799" max="1799" width="12.7109375" style="125" customWidth="1"/>
    <col min="1800" max="1800" width="18.28515625" style="125" customWidth="1"/>
    <col min="1801" max="1801" width="14.28515625" style="125" customWidth="1"/>
    <col min="1802" max="2049" width="9.140625" style="125"/>
    <col min="2050" max="2050" width="19.28515625" style="125" customWidth="1"/>
    <col min="2051" max="2051" width="22.140625" style="125" customWidth="1"/>
    <col min="2052" max="2052" width="46.42578125" style="125" customWidth="1"/>
    <col min="2053" max="2053" width="15.85546875" style="125" customWidth="1"/>
    <col min="2054" max="2054" width="18.5703125" style="125" customWidth="1"/>
    <col min="2055" max="2055" width="12.7109375" style="125" customWidth="1"/>
    <col min="2056" max="2056" width="18.28515625" style="125" customWidth="1"/>
    <col min="2057" max="2057" width="14.28515625" style="125" customWidth="1"/>
    <col min="2058" max="2305" width="9.140625" style="125"/>
    <col min="2306" max="2306" width="19.28515625" style="125" customWidth="1"/>
    <col min="2307" max="2307" width="22.140625" style="125" customWidth="1"/>
    <col min="2308" max="2308" width="46.42578125" style="125" customWidth="1"/>
    <col min="2309" max="2309" width="15.85546875" style="125" customWidth="1"/>
    <col min="2310" max="2310" width="18.5703125" style="125" customWidth="1"/>
    <col min="2311" max="2311" width="12.7109375" style="125" customWidth="1"/>
    <col min="2312" max="2312" width="18.28515625" style="125" customWidth="1"/>
    <col min="2313" max="2313" width="14.28515625" style="125" customWidth="1"/>
    <col min="2314" max="2561" width="9.140625" style="125"/>
    <col min="2562" max="2562" width="19.28515625" style="125" customWidth="1"/>
    <col min="2563" max="2563" width="22.140625" style="125" customWidth="1"/>
    <col min="2564" max="2564" width="46.42578125" style="125" customWidth="1"/>
    <col min="2565" max="2565" width="15.85546875" style="125" customWidth="1"/>
    <col min="2566" max="2566" width="18.5703125" style="125" customWidth="1"/>
    <col min="2567" max="2567" width="12.7109375" style="125" customWidth="1"/>
    <col min="2568" max="2568" width="18.28515625" style="125" customWidth="1"/>
    <col min="2569" max="2569" width="14.28515625" style="125" customWidth="1"/>
    <col min="2570" max="2817" width="9.140625" style="125"/>
    <col min="2818" max="2818" width="19.28515625" style="125" customWidth="1"/>
    <col min="2819" max="2819" width="22.140625" style="125" customWidth="1"/>
    <col min="2820" max="2820" width="46.42578125" style="125" customWidth="1"/>
    <col min="2821" max="2821" width="15.85546875" style="125" customWidth="1"/>
    <col min="2822" max="2822" width="18.5703125" style="125" customWidth="1"/>
    <col min="2823" max="2823" width="12.7109375" style="125" customWidth="1"/>
    <col min="2824" max="2824" width="18.28515625" style="125" customWidth="1"/>
    <col min="2825" max="2825" width="14.28515625" style="125" customWidth="1"/>
    <col min="2826" max="3073" width="9.140625" style="125"/>
    <col min="3074" max="3074" width="19.28515625" style="125" customWidth="1"/>
    <col min="3075" max="3075" width="22.140625" style="125" customWidth="1"/>
    <col min="3076" max="3076" width="46.42578125" style="125" customWidth="1"/>
    <col min="3077" max="3077" width="15.85546875" style="125" customWidth="1"/>
    <col min="3078" max="3078" width="18.5703125" style="125" customWidth="1"/>
    <col min="3079" max="3079" width="12.7109375" style="125" customWidth="1"/>
    <col min="3080" max="3080" width="18.28515625" style="125" customWidth="1"/>
    <col min="3081" max="3081" width="14.28515625" style="125" customWidth="1"/>
    <col min="3082" max="3329" width="9.140625" style="125"/>
    <col min="3330" max="3330" width="19.28515625" style="125" customWidth="1"/>
    <col min="3331" max="3331" width="22.140625" style="125" customWidth="1"/>
    <col min="3332" max="3332" width="46.42578125" style="125" customWidth="1"/>
    <col min="3333" max="3333" width="15.85546875" style="125" customWidth="1"/>
    <col min="3334" max="3334" width="18.5703125" style="125" customWidth="1"/>
    <col min="3335" max="3335" width="12.7109375" style="125" customWidth="1"/>
    <col min="3336" max="3336" width="18.28515625" style="125" customWidth="1"/>
    <col min="3337" max="3337" width="14.28515625" style="125" customWidth="1"/>
    <col min="3338" max="3585" width="9.140625" style="125"/>
    <col min="3586" max="3586" width="19.28515625" style="125" customWidth="1"/>
    <col min="3587" max="3587" width="22.140625" style="125" customWidth="1"/>
    <col min="3588" max="3588" width="46.42578125" style="125" customWidth="1"/>
    <col min="3589" max="3589" width="15.85546875" style="125" customWidth="1"/>
    <col min="3590" max="3590" width="18.5703125" style="125" customWidth="1"/>
    <col min="3591" max="3591" width="12.7109375" style="125" customWidth="1"/>
    <col min="3592" max="3592" width="18.28515625" style="125" customWidth="1"/>
    <col min="3593" max="3593" width="14.28515625" style="125" customWidth="1"/>
    <col min="3594" max="3841" width="9.140625" style="125"/>
    <col min="3842" max="3842" width="19.28515625" style="125" customWidth="1"/>
    <col min="3843" max="3843" width="22.140625" style="125" customWidth="1"/>
    <col min="3844" max="3844" width="46.42578125" style="125" customWidth="1"/>
    <col min="3845" max="3845" width="15.85546875" style="125" customWidth="1"/>
    <col min="3846" max="3846" width="18.5703125" style="125" customWidth="1"/>
    <col min="3847" max="3847" width="12.7109375" style="125" customWidth="1"/>
    <col min="3848" max="3848" width="18.28515625" style="125" customWidth="1"/>
    <col min="3849" max="3849" width="14.28515625" style="125" customWidth="1"/>
    <col min="3850" max="4097" width="9.140625" style="125"/>
    <col min="4098" max="4098" width="19.28515625" style="125" customWidth="1"/>
    <col min="4099" max="4099" width="22.140625" style="125" customWidth="1"/>
    <col min="4100" max="4100" width="46.42578125" style="125" customWidth="1"/>
    <col min="4101" max="4101" width="15.85546875" style="125" customWidth="1"/>
    <col min="4102" max="4102" width="18.5703125" style="125" customWidth="1"/>
    <col min="4103" max="4103" width="12.7109375" style="125" customWidth="1"/>
    <col min="4104" max="4104" width="18.28515625" style="125" customWidth="1"/>
    <col min="4105" max="4105" width="14.28515625" style="125" customWidth="1"/>
    <col min="4106" max="4353" width="9.140625" style="125"/>
    <col min="4354" max="4354" width="19.28515625" style="125" customWidth="1"/>
    <col min="4355" max="4355" width="22.140625" style="125" customWidth="1"/>
    <col min="4356" max="4356" width="46.42578125" style="125" customWidth="1"/>
    <col min="4357" max="4357" width="15.85546875" style="125" customWidth="1"/>
    <col min="4358" max="4358" width="18.5703125" style="125" customWidth="1"/>
    <col min="4359" max="4359" width="12.7109375" style="125" customWidth="1"/>
    <col min="4360" max="4360" width="18.28515625" style="125" customWidth="1"/>
    <col min="4361" max="4361" width="14.28515625" style="125" customWidth="1"/>
    <col min="4362" max="4609" width="9.140625" style="125"/>
    <col min="4610" max="4610" width="19.28515625" style="125" customWidth="1"/>
    <col min="4611" max="4611" width="22.140625" style="125" customWidth="1"/>
    <col min="4612" max="4612" width="46.42578125" style="125" customWidth="1"/>
    <col min="4613" max="4613" width="15.85546875" style="125" customWidth="1"/>
    <col min="4614" max="4614" width="18.5703125" style="125" customWidth="1"/>
    <col min="4615" max="4615" width="12.7109375" style="125" customWidth="1"/>
    <col min="4616" max="4616" width="18.28515625" style="125" customWidth="1"/>
    <col min="4617" max="4617" width="14.28515625" style="125" customWidth="1"/>
    <col min="4618" max="4865" width="9.140625" style="125"/>
    <col min="4866" max="4866" width="19.28515625" style="125" customWidth="1"/>
    <col min="4867" max="4867" width="22.140625" style="125" customWidth="1"/>
    <col min="4868" max="4868" width="46.42578125" style="125" customWidth="1"/>
    <col min="4869" max="4869" width="15.85546875" style="125" customWidth="1"/>
    <col min="4870" max="4870" width="18.5703125" style="125" customWidth="1"/>
    <col min="4871" max="4871" width="12.7109375" style="125" customWidth="1"/>
    <col min="4872" max="4872" width="18.28515625" style="125" customWidth="1"/>
    <col min="4873" max="4873" width="14.28515625" style="125" customWidth="1"/>
    <col min="4874" max="5121" width="9.140625" style="125"/>
    <col min="5122" max="5122" width="19.28515625" style="125" customWidth="1"/>
    <col min="5123" max="5123" width="22.140625" style="125" customWidth="1"/>
    <col min="5124" max="5124" width="46.42578125" style="125" customWidth="1"/>
    <col min="5125" max="5125" width="15.85546875" style="125" customWidth="1"/>
    <col min="5126" max="5126" width="18.5703125" style="125" customWidth="1"/>
    <col min="5127" max="5127" width="12.7109375" style="125" customWidth="1"/>
    <col min="5128" max="5128" width="18.28515625" style="125" customWidth="1"/>
    <col min="5129" max="5129" width="14.28515625" style="125" customWidth="1"/>
    <col min="5130" max="5377" width="9.140625" style="125"/>
    <col min="5378" max="5378" width="19.28515625" style="125" customWidth="1"/>
    <col min="5379" max="5379" width="22.140625" style="125" customWidth="1"/>
    <col min="5380" max="5380" width="46.42578125" style="125" customWidth="1"/>
    <col min="5381" max="5381" width="15.85546875" style="125" customWidth="1"/>
    <col min="5382" max="5382" width="18.5703125" style="125" customWidth="1"/>
    <col min="5383" max="5383" width="12.7109375" style="125" customWidth="1"/>
    <col min="5384" max="5384" width="18.28515625" style="125" customWidth="1"/>
    <col min="5385" max="5385" width="14.28515625" style="125" customWidth="1"/>
    <col min="5386" max="5633" width="9.140625" style="125"/>
    <col min="5634" max="5634" width="19.28515625" style="125" customWidth="1"/>
    <col min="5635" max="5635" width="22.140625" style="125" customWidth="1"/>
    <col min="5636" max="5636" width="46.42578125" style="125" customWidth="1"/>
    <col min="5637" max="5637" width="15.85546875" style="125" customWidth="1"/>
    <col min="5638" max="5638" width="18.5703125" style="125" customWidth="1"/>
    <col min="5639" max="5639" width="12.7109375" style="125" customWidth="1"/>
    <col min="5640" max="5640" width="18.28515625" style="125" customWidth="1"/>
    <col min="5641" max="5641" width="14.28515625" style="125" customWidth="1"/>
    <col min="5642" max="5889" width="9.140625" style="125"/>
    <col min="5890" max="5890" width="19.28515625" style="125" customWidth="1"/>
    <col min="5891" max="5891" width="22.140625" style="125" customWidth="1"/>
    <col min="5892" max="5892" width="46.42578125" style="125" customWidth="1"/>
    <col min="5893" max="5893" width="15.85546875" style="125" customWidth="1"/>
    <col min="5894" max="5894" width="18.5703125" style="125" customWidth="1"/>
    <col min="5895" max="5895" width="12.7109375" style="125" customWidth="1"/>
    <col min="5896" max="5896" width="18.28515625" style="125" customWidth="1"/>
    <col min="5897" max="5897" width="14.28515625" style="125" customWidth="1"/>
    <col min="5898" max="6145" width="9.140625" style="125"/>
    <col min="6146" max="6146" width="19.28515625" style="125" customWidth="1"/>
    <col min="6147" max="6147" width="22.140625" style="125" customWidth="1"/>
    <col min="6148" max="6148" width="46.42578125" style="125" customWidth="1"/>
    <col min="6149" max="6149" width="15.85546875" style="125" customWidth="1"/>
    <col min="6150" max="6150" width="18.5703125" style="125" customWidth="1"/>
    <col min="6151" max="6151" width="12.7109375" style="125" customWidth="1"/>
    <col min="6152" max="6152" width="18.28515625" style="125" customWidth="1"/>
    <col min="6153" max="6153" width="14.28515625" style="125" customWidth="1"/>
    <col min="6154" max="6401" width="9.140625" style="125"/>
    <col min="6402" max="6402" width="19.28515625" style="125" customWidth="1"/>
    <col min="6403" max="6403" width="22.140625" style="125" customWidth="1"/>
    <col min="6404" max="6404" width="46.42578125" style="125" customWidth="1"/>
    <col min="6405" max="6405" width="15.85546875" style="125" customWidth="1"/>
    <col min="6406" max="6406" width="18.5703125" style="125" customWidth="1"/>
    <col min="6407" max="6407" width="12.7109375" style="125" customWidth="1"/>
    <col min="6408" max="6408" width="18.28515625" style="125" customWidth="1"/>
    <col min="6409" max="6409" width="14.28515625" style="125" customWidth="1"/>
    <col min="6410" max="6657" width="9.140625" style="125"/>
    <col min="6658" max="6658" width="19.28515625" style="125" customWidth="1"/>
    <col min="6659" max="6659" width="22.140625" style="125" customWidth="1"/>
    <col min="6660" max="6660" width="46.42578125" style="125" customWidth="1"/>
    <col min="6661" max="6661" width="15.85546875" style="125" customWidth="1"/>
    <col min="6662" max="6662" width="18.5703125" style="125" customWidth="1"/>
    <col min="6663" max="6663" width="12.7109375" style="125" customWidth="1"/>
    <col min="6664" max="6664" width="18.28515625" style="125" customWidth="1"/>
    <col min="6665" max="6665" width="14.28515625" style="125" customWidth="1"/>
    <col min="6666" max="6913" width="9.140625" style="125"/>
    <col min="6914" max="6914" width="19.28515625" style="125" customWidth="1"/>
    <col min="6915" max="6915" width="22.140625" style="125" customWidth="1"/>
    <col min="6916" max="6916" width="46.42578125" style="125" customWidth="1"/>
    <col min="6917" max="6917" width="15.85546875" style="125" customWidth="1"/>
    <col min="6918" max="6918" width="18.5703125" style="125" customWidth="1"/>
    <col min="6919" max="6919" width="12.7109375" style="125" customWidth="1"/>
    <col min="6920" max="6920" width="18.28515625" style="125" customWidth="1"/>
    <col min="6921" max="6921" width="14.28515625" style="125" customWidth="1"/>
    <col min="6922" max="7169" width="9.140625" style="125"/>
    <col min="7170" max="7170" width="19.28515625" style="125" customWidth="1"/>
    <col min="7171" max="7171" width="22.140625" style="125" customWidth="1"/>
    <col min="7172" max="7172" width="46.42578125" style="125" customWidth="1"/>
    <col min="7173" max="7173" width="15.85546875" style="125" customWidth="1"/>
    <col min="7174" max="7174" width="18.5703125" style="125" customWidth="1"/>
    <col min="7175" max="7175" width="12.7109375" style="125" customWidth="1"/>
    <col min="7176" max="7176" width="18.28515625" style="125" customWidth="1"/>
    <col min="7177" max="7177" width="14.28515625" style="125" customWidth="1"/>
    <col min="7178" max="7425" width="9.140625" style="125"/>
    <col min="7426" max="7426" width="19.28515625" style="125" customWidth="1"/>
    <col min="7427" max="7427" width="22.140625" style="125" customWidth="1"/>
    <col min="7428" max="7428" width="46.42578125" style="125" customWidth="1"/>
    <col min="7429" max="7429" width="15.85546875" style="125" customWidth="1"/>
    <col min="7430" max="7430" width="18.5703125" style="125" customWidth="1"/>
    <col min="7431" max="7431" width="12.7109375" style="125" customWidth="1"/>
    <col min="7432" max="7432" width="18.28515625" style="125" customWidth="1"/>
    <col min="7433" max="7433" width="14.28515625" style="125" customWidth="1"/>
    <col min="7434" max="7681" width="9.140625" style="125"/>
    <col min="7682" max="7682" width="19.28515625" style="125" customWidth="1"/>
    <col min="7683" max="7683" width="22.140625" style="125" customWidth="1"/>
    <col min="7684" max="7684" width="46.42578125" style="125" customWidth="1"/>
    <col min="7685" max="7685" width="15.85546875" style="125" customWidth="1"/>
    <col min="7686" max="7686" width="18.5703125" style="125" customWidth="1"/>
    <col min="7687" max="7687" width="12.7109375" style="125" customWidth="1"/>
    <col min="7688" max="7688" width="18.28515625" style="125" customWidth="1"/>
    <col min="7689" max="7689" width="14.28515625" style="125" customWidth="1"/>
    <col min="7690" max="7937" width="9.140625" style="125"/>
    <col min="7938" max="7938" width="19.28515625" style="125" customWidth="1"/>
    <col min="7939" max="7939" width="22.140625" style="125" customWidth="1"/>
    <col min="7940" max="7940" width="46.42578125" style="125" customWidth="1"/>
    <col min="7941" max="7941" width="15.85546875" style="125" customWidth="1"/>
    <col min="7942" max="7942" width="18.5703125" style="125" customWidth="1"/>
    <col min="7943" max="7943" width="12.7109375" style="125" customWidth="1"/>
    <col min="7944" max="7944" width="18.28515625" style="125" customWidth="1"/>
    <col min="7945" max="7945" width="14.28515625" style="125" customWidth="1"/>
    <col min="7946" max="8193" width="9.140625" style="125"/>
    <col min="8194" max="8194" width="19.28515625" style="125" customWidth="1"/>
    <col min="8195" max="8195" width="22.140625" style="125" customWidth="1"/>
    <col min="8196" max="8196" width="46.42578125" style="125" customWidth="1"/>
    <col min="8197" max="8197" width="15.85546875" style="125" customWidth="1"/>
    <col min="8198" max="8198" width="18.5703125" style="125" customWidth="1"/>
    <col min="8199" max="8199" width="12.7109375" style="125" customWidth="1"/>
    <col min="8200" max="8200" width="18.28515625" style="125" customWidth="1"/>
    <col min="8201" max="8201" width="14.28515625" style="125" customWidth="1"/>
    <col min="8202" max="8449" width="9.140625" style="125"/>
    <col min="8450" max="8450" width="19.28515625" style="125" customWidth="1"/>
    <col min="8451" max="8451" width="22.140625" style="125" customWidth="1"/>
    <col min="8452" max="8452" width="46.42578125" style="125" customWidth="1"/>
    <col min="8453" max="8453" width="15.85546875" style="125" customWidth="1"/>
    <col min="8454" max="8454" width="18.5703125" style="125" customWidth="1"/>
    <col min="8455" max="8455" width="12.7109375" style="125" customWidth="1"/>
    <col min="8456" max="8456" width="18.28515625" style="125" customWidth="1"/>
    <col min="8457" max="8457" width="14.28515625" style="125" customWidth="1"/>
    <col min="8458" max="8705" width="9.140625" style="125"/>
    <col min="8706" max="8706" width="19.28515625" style="125" customWidth="1"/>
    <col min="8707" max="8707" width="22.140625" style="125" customWidth="1"/>
    <col min="8708" max="8708" width="46.42578125" style="125" customWidth="1"/>
    <col min="8709" max="8709" width="15.85546875" style="125" customWidth="1"/>
    <col min="8710" max="8710" width="18.5703125" style="125" customWidth="1"/>
    <col min="8711" max="8711" width="12.7109375" style="125" customWidth="1"/>
    <col min="8712" max="8712" width="18.28515625" style="125" customWidth="1"/>
    <col min="8713" max="8713" width="14.28515625" style="125" customWidth="1"/>
    <col min="8714" max="8961" width="9.140625" style="125"/>
    <col min="8962" max="8962" width="19.28515625" style="125" customWidth="1"/>
    <col min="8963" max="8963" width="22.140625" style="125" customWidth="1"/>
    <col min="8964" max="8964" width="46.42578125" style="125" customWidth="1"/>
    <col min="8965" max="8965" width="15.85546875" style="125" customWidth="1"/>
    <col min="8966" max="8966" width="18.5703125" style="125" customWidth="1"/>
    <col min="8967" max="8967" width="12.7109375" style="125" customWidth="1"/>
    <col min="8968" max="8968" width="18.28515625" style="125" customWidth="1"/>
    <col min="8969" max="8969" width="14.28515625" style="125" customWidth="1"/>
    <col min="8970" max="9217" width="9.140625" style="125"/>
    <col min="9218" max="9218" width="19.28515625" style="125" customWidth="1"/>
    <col min="9219" max="9219" width="22.140625" style="125" customWidth="1"/>
    <col min="9220" max="9220" width="46.42578125" style="125" customWidth="1"/>
    <col min="9221" max="9221" width="15.85546875" style="125" customWidth="1"/>
    <col min="9222" max="9222" width="18.5703125" style="125" customWidth="1"/>
    <col min="9223" max="9223" width="12.7109375" style="125" customWidth="1"/>
    <col min="9224" max="9224" width="18.28515625" style="125" customWidth="1"/>
    <col min="9225" max="9225" width="14.28515625" style="125" customWidth="1"/>
    <col min="9226" max="9473" width="9.140625" style="125"/>
    <col min="9474" max="9474" width="19.28515625" style="125" customWidth="1"/>
    <col min="9475" max="9475" width="22.140625" style="125" customWidth="1"/>
    <col min="9476" max="9476" width="46.42578125" style="125" customWidth="1"/>
    <col min="9477" max="9477" width="15.85546875" style="125" customWidth="1"/>
    <col min="9478" max="9478" width="18.5703125" style="125" customWidth="1"/>
    <col min="9479" max="9479" width="12.7109375" style="125" customWidth="1"/>
    <col min="9480" max="9480" width="18.28515625" style="125" customWidth="1"/>
    <col min="9481" max="9481" width="14.28515625" style="125" customWidth="1"/>
    <col min="9482" max="9729" width="9.140625" style="125"/>
    <col min="9730" max="9730" width="19.28515625" style="125" customWidth="1"/>
    <col min="9731" max="9731" width="22.140625" style="125" customWidth="1"/>
    <col min="9732" max="9732" width="46.42578125" style="125" customWidth="1"/>
    <col min="9733" max="9733" width="15.85546875" style="125" customWidth="1"/>
    <col min="9734" max="9734" width="18.5703125" style="125" customWidth="1"/>
    <col min="9735" max="9735" width="12.7109375" style="125" customWidth="1"/>
    <col min="9736" max="9736" width="18.28515625" style="125" customWidth="1"/>
    <col min="9737" max="9737" width="14.28515625" style="125" customWidth="1"/>
    <col min="9738" max="9985" width="9.140625" style="125"/>
    <col min="9986" max="9986" width="19.28515625" style="125" customWidth="1"/>
    <col min="9987" max="9987" width="22.140625" style="125" customWidth="1"/>
    <col min="9988" max="9988" width="46.42578125" style="125" customWidth="1"/>
    <col min="9989" max="9989" width="15.85546875" style="125" customWidth="1"/>
    <col min="9990" max="9990" width="18.5703125" style="125" customWidth="1"/>
    <col min="9991" max="9991" width="12.7109375" style="125" customWidth="1"/>
    <col min="9992" max="9992" width="18.28515625" style="125" customWidth="1"/>
    <col min="9993" max="9993" width="14.28515625" style="125" customWidth="1"/>
    <col min="9994" max="10241" width="9.140625" style="125"/>
    <col min="10242" max="10242" width="19.28515625" style="125" customWidth="1"/>
    <col min="10243" max="10243" width="22.140625" style="125" customWidth="1"/>
    <col min="10244" max="10244" width="46.42578125" style="125" customWidth="1"/>
    <col min="10245" max="10245" width="15.85546875" style="125" customWidth="1"/>
    <col min="10246" max="10246" width="18.5703125" style="125" customWidth="1"/>
    <col min="10247" max="10247" width="12.7109375" style="125" customWidth="1"/>
    <col min="10248" max="10248" width="18.28515625" style="125" customWidth="1"/>
    <col min="10249" max="10249" width="14.28515625" style="125" customWidth="1"/>
    <col min="10250" max="10497" width="9.140625" style="125"/>
    <col min="10498" max="10498" width="19.28515625" style="125" customWidth="1"/>
    <col min="10499" max="10499" width="22.140625" style="125" customWidth="1"/>
    <col min="10500" max="10500" width="46.42578125" style="125" customWidth="1"/>
    <col min="10501" max="10501" width="15.85546875" style="125" customWidth="1"/>
    <col min="10502" max="10502" width="18.5703125" style="125" customWidth="1"/>
    <col min="10503" max="10503" width="12.7109375" style="125" customWidth="1"/>
    <col min="10504" max="10504" width="18.28515625" style="125" customWidth="1"/>
    <col min="10505" max="10505" width="14.28515625" style="125" customWidth="1"/>
    <col min="10506" max="10753" width="9.140625" style="125"/>
    <col min="10754" max="10754" width="19.28515625" style="125" customWidth="1"/>
    <col min="10755" max="10755" width="22.140625" style="125" customWidth="1"/>
    <col min="10756" max="10756" width="46.42578125" style="125" customWidth="1"/>
    <col min="10757" max="10757" width="15.85546875" style="125" customWidth="1"/>
    <col min="10758" max="10758" width="18.5703125" style="125" customWidth="1"/>
    <col min="10759" max="10759" width="12.7109375" style="125" customWidth="1"/>
    <col min="10760" max="10760" width="18.28515625" style="125" customWidth="1"/>
    <col min="10761" max="10761" width="14.28515625" style="125" customWidth="1"/>
    <col min="10762" max="11009" width="9.140625" style="125"/>
    <col min="11010" max="11010" width="19.28515625" style="125" customWidth="1"/>
    <col min="11011" max="11011" width="22.140625" style="125" customWidth="1"/>
    <col min="11012" max="11012" width="46.42578125" style="125" customWidth="1"/>
    <col min="11013" max="11013" width="15.85546875" style="125" customWidth="1"/>
    <col min="11014" max="11014" width="18.5703125" style="125" customWidth="1"/>
    <col min="11015" max="11015" width="12.7109375" style="125" customWidth="1"/>
    <col min="11016" max="11016" width="18.28515625" style="125" customWidth="1"/>
    <col min="11017" max="11017" width="14.28515625" style="125" customWidth="1"/>
    <col min="11018" max="11265" width="9.140625" style="125"/>
    <col min="11266" max="11266" width="19.28515625" style="125" customWidth="1"/>
    <col min="11267" max="11267" width="22.140625" style="125" customWidth="1"/>
    <col min="11268" max="11268" width="46.42578125" style="125" customWidth="1"/>
    <col min="11269" max="11269" width="15.85546875" style="125" customWidth="1"/>
    <col min="11270" max="11270" width="18.5703125" style="125" customWidth="1"/>
    <col min="11271" max="11271" width="12.7109375" style="125" customWidth="1"/>
    <col min="11272" max="11272" width="18.28515625" style="125" customWidth="1"/>
    <col min="11273" max="11273" width="14.28515625" style="125" customWidth="1"/>
    <col min="11274" max="11521" width="9.140625" style="125"/>
    <col min="11522" max="11522" width="19.28515625" style="125" customWidth="1"/>
    <col min="11523" max="11523" width="22.140625" style="125" customWidth="1"/>
    <col min="11524" max="11524" width="46.42578125" style="125" customWidth="1"/>
    <col min="11525" max="11525" width="15.85546875" style="125" customWidth="1"/>
    <col min="11526" max="11526" width="18.5703125" style="125" customWidth="1"/>
    <col min="11527" max="11527" width="12.7109375" style="125" customWidth="1"/>
    <col min="11528" max="11528" width="18.28515625" style="125" customWidth="1"/>
    <col min="11529" max="11529" width="14.28515625" style="125" customWidth="1"/>
    <col min="11530" max="11777" width="9.140625" style="125"/>
    <col min="11778" max="11778" width="19.28515625" style="125" customWidth="1"/>
    <col min="11779" max="11779" width="22.140625" style="125" customWidth="1"/>
    <col min="11780" max="11780" width="46.42578125" style="125" customWidth="1"/>
    <col min="11781" max="11781" width="15.85546875" style="125" customWidth="1"/>
    <col min="11782" max="11782" width="18.5703125" style="125" customWidth="1"/>
    <col min="11783" max="11783" width="12.7109375" style="125" customWidth="1"/>
    <col min="11784" max="11784" width="18.28515625" style="125" customWidth="1"/>
    <col min="11785" max="11785" width="14.28515625" style="125" customWidth="1"/>
    <col min="11786" max="12033" width="9.140625" style="125"/>
    <col min="12034" max="12034" width="19.28515625" style="125" customWidth="1"/>
    <col min="12035" max="12035" width="22.140625" style="125" customWidth="1"/>
    <col min="12036" max="12036" width="46.42578125" style="125" customWidth="1"/>
    <col min="12037" max="12037" width="15.85546875" style="125" customWidth="1"/>
    <col min="12038" max="12038" width="18.5703125" style="125" customWidth="1"/>
    <col min="12039" max="12039" width="12.7109375" style="125" customWidth="1"/>
    <col min="12040" max="12040" width="18.28515625" style="125" customWidth="1"/>
    <col min="12041" max="12041" width="14.28515625" style="125" customWidth="1"/>
    <col min="12042" max="12289" width="9.140625" style="125"/>
    <col min="12290" max="12290" width="19.28515625" style="125" customWidth="1"/>
    <col min="12291" max="12291" width="22.140625" style="125" customWidth="1"/>
    <col min="12292" max="12292" width="46.42578125" style="125" customWidth="1"/>
    <col min="12293" max="12293" width="15.85546875" style="125" customWidth="1"/>
    <col min="12294" max="12294" width="18.5703125" style="125" customWidth="1"/>
    <col min="12295" max="12295" width="12.7109375" style="125" customWidth="1"/>
    <col min="12296" max="12296" width="18.28515625" style="125" customWidth="1"/>
    <col min="12297" max="12297" width="14.28515625" style="125" customWidth="1"/>
    <col min="12298" max="12545" width="9.140625" style="125"/>
    <col min="12546" max="12546" width="19.28515625" style="125" customWidth="1"/>
    <col min="12547" max="12547" width="22.140625" style="125" customWidth="1"/>
    <col min="12548" max="12548" width="46.42578125" style="125" customWidth="1"/>
    <col min="12549" max="12549" width="15.85546875" style="125" customWidth="1"/>
    <col min="12550" max="12550" width="18.5703125" style="125" customWidth="1"/>
    <col min="12551" max="12551" width="12.7109375" style="125" customWidth="1"/>
    <col min="12552" max="12552" width="18.28515625" style="125" customWidth="1"/>
    <col min="12553" max="12553" width="14.28515625" style="125" customWidth="1"/>
    <col min="12554" max="12801" width="9.140625" style="125"/>
    <col min="12802" max="12802" width="19.28515625" style="125" customWidth="1"/>
    <col min="12803" max="12803" width="22.140625" style="125" customWidth="1"/>
    <col min="12804" max="12804" width="46.42578125" style="125" customWidth="1"/>
    <col min="12805" max="12805" width="15.85546875" style="125" customWidth="1"/>
    <col min="12806" max="12806" width="18.5703125" style="125" customWidth="1"/>
    <col min="12807" max="12807" width="12.7109375" style="125" customWidth="1"/>
    <col min="12808" max="12808" width="18.28515625" style="125" customWidth="1"/>
    <col min="12809" max="12809" width="14.28515625" style="125" customWidth="1"/>
    <col min="12810" max="13057" width="9.140625" style="125"/>
    <col min="13058" max="13058" width="19.28515625" style="125" customWidth="1"/>
    <col min="13059" max="13059" width="22.140625" style="125" customWidth="1"/>
    <col min="13060" max="13060" width="46.42578125" style="125" customWidth="1"/>
    <col min="13061" max="13061" width="15.85546875" style="125" customWidth="1"/>
    <col min="13062" max="13062" width="18.5703125" style="125" customWidth="1"/>
    <col min="13063" max="13063" width="12.7109375" style="125" customWidth="1"/>
    <col min="13064" max="13064" width="18.28515625" style="125" customWidth="1"/>
    <col min="13065" max="13065" width="14.28515625" style="125" customWidth="1"/>
    <col min="13066" max="13313" width="9.140625" style="125"/>
    <col min="13314" max="13314" width="19.28515625" style="125" customWidth="1"/>
    <col min="13315" max="13315" width="22.140625" style="125" customWidth="1"/>
    <col min="13316" max="13316" width="46.42578125" style="125" customWidth="1"/>
    <col min="13317" max="13317" width="15.85546875" style="125" customWidth="1"/>
    <col min="13318" max="13318" width="18.5703125" style="125" customWidth="1"/>
    <col min="13319" max="13319" width="12.7109375" style="125" customWidth="1"/>
    <col min="13320" max="13320" width="18.28515625" style="125" customWidth="1"/>
    <col min="13321" max="13321" width="14.28515625" style="125" customWidth="1"/>
    <col min="13322" max="13569" width="9.140625" style="125"/>
    <col min="13570" max="13570" width="19.28515625" style="125" customWidth="1"/>
    <col min="13571" max="13571" width="22.140625" style="125" customWidth="1"/>
    <col min="13572" max="13572" width="46.42578125" style="125" customWidth="1"/>
    <col min="13573" max="13573" width="15.85546875" style="125" customWidth="1"/>
    <col min="13574" max="13574" width="18.5703125" style="125" customWidth="1"/>
    <col min="13575" max="13575" width="12.7109375" style="125" customWidth="1"/>
    <col min="13576" max="13576" width="18.28515625" style="125" customWidth="1"/>
    <col min="13577" max="13577" width="14.28515625" style="125" customWidth="1"/>
    <col min="13578" max="13825" width="9.140625" style="125"/>
    <col min="13826" max="13826" width="19.28515625" style="125" customWidth="1"/>
    <col min="13827" max="13827" width="22.140625" style="125" customWidth="1"/>
    <col min="13828" max="13828" width="46.42578125" style="125" customWidth="1"/>
    <col min="13829" max="13829" width="15.85546875" style="125" customWidth="1"/>
    <col min="13830" max="13830" width="18.5703125" style="125" customWidth="1"/>
    <col min="13831" max="13831" width="12.7109375" style="125" customWidth="1"/>
    <col min="13832" max="13832" width="18.28515625" style="125" customWidth="1"/>
    <col min="13833" max="13833" width="14.28515625" style="125" customWidth="1"/>
    <col min="13834" max="14081" width="9.140625" style="125"/>
    <col min="14082" max="14082" width="19.28515625" style="125" customWidth="1"/>
    <col min="14083" max="14083" width="22.140625" style="125" customWidth="1"/>
    <col min="14084" max="14084" width="46.42578125" style="125" customWidth="1"/>
    <col min="14085" max="14085" width="15.85546875" style="125" customWidth="1"/>
    <col min="14086" max="14086" width="18.5703125" style="125" customWidth="1"/>
    <col min="14087" max="14087" width="12.7109375" style="125" customWidth="1"/>
    <col min="14088" max="14088" width="18.28515625" style="125" customWidth="1"/>
    <col min="14089" max="14089" width="14.28515625" style="125" customWidth="1"/>
    <col min="14090" max="14337" width="9.140625" style="125"/>
    <col min="14338" max="14338" width="19.28515625" style="125" customWidth="1"/>
    <col min="14339" max="14339" width="22.140625" style="125" customWidth="1"/>
    <col min="14340" max="14340" width="46.42578125" style="125" customWidth="1"/>
    <col min="14341" max="14341" width="15.85546875" style="125" customWidth="1"/>
    <col min="14342" max="14342" width="18.5703125" style="125" customWidth="1"/>
    <col min="14343" max="14343" width="12.7109375" style="125" customWidth="1"/>
    <col min="14344" max="14344" width="18.28515625" style="125" customWidth="1"/>
    <col min="14345" max="14345" width="14.28515625" style="125" customWidth="1"/>
    <col min="14346" max="14593" width="9.140625" style="125"/>
    <col min="14594" max="14594" width="19.28515625" style="125" customWidth="1"/>
    <col min="14595" max="14595" width="22.140625" style="125" customWidth="1"/>
    <col min="14596" max="14596" width="46.42578125" style="125" customWidth="1"/>
    <col min="14597" max="14597" width="15.85546875" style="125" customWidth="1"/>
    <col min="14598" max="14598" width="18.5703125" style="125" customWidth="1"/>
    <col min="14599" max="14599" width="12.7109375" style="125" customWidth="1"/>
    <col min="14600" max="14600" width="18.28515625" style="125" customWidth="1"/>
    <col min="14601" max="14601" width="14.28515625" style="125" customWidth="1"/>
    <col min="14602" max="14849" width="9.140625" style="125"/>
    <col min="14850" max="14850" width="19.28515625" style="125" customWidth="1"/>
    <col min="14851" max="14851" width="22.140625" style="125" customWidth="1"/>
    <col min="14852" max="14852" width="46.42578125" style="125" customWidth="1"/>
    <col min="14853" max="14853" width="15.85546875" style="125" customWidth="1"/>
    <col min="14854" max="14854" width="18.5703125" style="125" customWidth="1"/>
    <col min="14855" max="14855" width="12.7109375" style="125" customWidth="1"/>
    <col min="14856" max="14856" width="18.28515625" style="125" customWidth="1"/>
    <col min="14857" max="14857" width="14.28515625" style="125" customWidth="1"/>
    <col min="14858" max="15105" width="9.140625" style="125"/>
    <col min="15106" max="15106" width="19.28515625" style="125" customWidth="1"/>
    <col min="15107" max="15107" width="22.140625" style="125" customWidth="1"/>
    <col min="15108" max="15108" width="46.42578125" style="125" customWidth="1"/>
    <col min="15109" max="15109" width="15.85546875" style="125" customWidth="1"/>
    <col min="15110" max="15110" width="18.5703125" style="125" customWidth="1"/>
    <col min="15111" max="15111" width="12.7109375" style="125" customWidth="1"/>
    <col min="15112" max="15112" width="18.28515625" style="125" customWidth="1"/>
    <col min="15113" max="15113" width="14.28515625" style="125" customWidth="1"/>
    <col min="15114" max="15361" width="9.140625" style="125"/>
    <col min="15362" max="15362" width="19.28515625" style="125" customWidth="1"/>
    <col min="15363" max="15363" width="22.140625" style="125" customWidth="1"/>
    <col min="15364" max="15364" width="46.42578125" style="125" customWidth="1"/>
    <col min="15365" max="15365" width="15.85546875" style="125" customWidth="1"/>
    <col min="15366" max="15366" width="18.5703125" style="125" customWidth="1"/>
    <col min="15367" max="15367" width="12.7109375" style="125" customWidth="1"/>
    <col min="15368" max="15368" width="18.28515625" style="125" customWidth="1"/>
    <col min="15369" max="15369" width="14.28515625" style="125" customWidth="1"/>
    <col min="15370" max="15617" width="9.140625" style="125"/>
    <col min="15618" max="15618" width="19.28515625" style="125" customWidth="1"/>
    <col min="15619" max="15619" width="22.140625" style="125" customWidth="1"/>
    <col min="15620" max="15620" width="46.42578125" style="125" customWidth="1"/>
    <col min="15621" max="15621" width="15.85546875" style="125" customWidth="1"/>
    <col min="15622" max="15622" width="18.5703125" style="125" customWidth="1"/>
    <col min="15623" max="15623" width="12.7109375" style="125" customWidth="1"/>
    <col min="15624" max="15624" width="18.28515625" style="125" customWidth="1"/>
    <col min="15625" max="15625" width="14.28515625" style="125" customWidth="1"/>
    <col min="15626" max="15873" width="9.140625" style="125"/>
    <col min="15874" max="15874" width="19.28515625" style="125" customWidth="1"/>
    <col min="15875" max="15875" width="22.140625" style="125" customWidth="1"/>
    <col min="15876" max="15876" width="46.42578125" style="125" customWidth="1"/>
    <col min="15877" max="15877" width="15.85546875" style="125" customWidth="1"/>
    <col min="15878" max="15878" width="18.5703125" style="125" customWidth="1"/>
    <col min="15879" max="15879" width="12.7109375" style="125" customWidth="1"/>
    <col min="15880" max="15880" width="18.28515625" style="125" customWidth="1"/>
    <col min="15881" max="15881" width="14.28515625" style="125" customWidth="1"/>
    <col min="15882" max="16129" width="9.140625" style="125"/>
    <col min="16130" max="16130" width="19.28515625" style="125" customWidth="1"/>
    <col min="16131" max="16131" width="22.140625" style="125" customWidth="1"/>
    <col min="16132" max="16132" width="46.42578125" style="125" customWidth="1"/>
    <col min="16133" max="16133" width="15.85546875" style="125" customWidth="1"/>
    <col min="16134" max="16134" width="18.5703125" style="125" customWidth="1"/>
    <col min="16135" max="16135" width="12.7109375" style="125" customWidth="1"/>
    <col min="16136" max="16136" width="18.28515625" style="125" customWidth="1"/>
    <col min="16137" max="16137" width="14.28515625" style="125" customWidth="1"/>
    <col min="16138" max="16384" width="9.140625" style="125"/>
  </cols>
  <sheetData>
    <row r="7" spans="1:11" ht="15" x14ac:dyDescent="0.25">
      <c r="A7" s="124" t="s">
        <v>0</v>
      </c>
      <c r="E7" s="126"/>
      <c r="F7" s="124" t="s">
        <v>1</v>
      </c>
    </row>
    <row r="8" spans="1:11" x14ac:dyDescent="0.2">
      <c r="E8" s="126"/>
    </row>
    <row r="9" spans="1:11" x14ac:dyDescent="0.2">
      <c r="A9" s="127"/>
      <c r="B9" s="127"/>
      <c r="C9" s="127"/>
      <c r="E9" s="126"/>
      <c r="F9" s="127"/>
    </row>
    <row r="10" spans="1:11" x14ac:dyDescent="0.2">
      <c r="E10" s="126"/>
    </row>
    <row r="11" spans="1:11" x14ac:dyDescent="0.2">
      <c r="A11" s="125" t="s">
        <v>137</v>
      </c>
      <c r="E11" s="126"/>
      <c r="F11" s="125" t="s">
        <v>137</v>
      </c>
    </row>
    <row r="12" spans="1:11" x14ac:dyDescent="0.2">
      <c r="E12" s="126"/>
    </row>
    <row r="13" spans="1:11" x14ac:dyDescent="0.2">
      <c r="E13" s="126"/>
    </row>
    <row r="14" spans="1:11" ht="15" x14ac:dyDescent="0.25">
      <c r="A14" s="729" t="s">
        <v>138</v>
      </c>
      <c r="B14" s="729"/>
      <c r="C14" s="729"/>
      <c r="D14" s="729"/>
      <c r="E14" s="729"/>
      <c r="F14" s="729"/>
      <c r="G14" s="729"/>
      <c r="H14" s="128"/>
      <c r="I14" s="128"/>
      <c r="J14" s="128"/>
      <c r="K14" s="128"/>
    </row>
    <row r="15" spans="1:11" ht="15" x14ac:dyDescent="0.25">
      <c r="A15" s="730" t="s">
        <v>57</v>
      </c>
      <c r="B15" s="730"/>
      <c r="C15" s="730"/>
      <c r="D15" s="730"/>
      <c r="E15" s="730"/>
      <c r="F15" s="730"/>
      <c r="G15" s="730"/>
      <c r="H15" s="730"/>
      <c r="I15" s="129"/>
      <c r="J15" s="129"/>
      <c r="K15" s="129"/>
    </row>
    <row r="16" spans="1:11" ht="15" x14ac:dyDescent="0.25">
      <c r="A16" s="729" t="s">
        <v>58</v>
      </c>
      <c r="B16" s="729"/>
      <c r="C16" s="729"/>
      <c r="D16" s="729"/>
      <c r="E16" s="729"/>
      <c r="F16" s="729"/>
      <c r="G16" s="729"/>
      <c r="H16" s="729"/>
      <c r="I16" s="128"/>
      <c r="J16" s="128"/>
      <c r="K16" s="128"/>
    </row>
    <row r="17" spans="1:13" ht="30" customHeight="1" x14ac:dyDescent="0.2">
      <c r="A17" s="731" t="s">
        <v>192</v>
      </c>
      <c r="B17" s="731"/>
      <c r="C17" s="731"/>
      <c r="D17" s="731"/>
      <c r="E17" s="731"/>
      <c r="F17" s="731"/>
      <c r="G17" s="731"/>
      <c r="H17" s="731"/>
      <c r="I17" s="261"/>
    </row>
    <row r="18" spans="1:13" x14ac:dyDescent="0.2">
      <c r="A18" s="125" t="s">
        <v>59</v>
      </c>
      <c r="E18" s="126"/>
    </row>
    <row r="19" spans="1:13" ht="13.5" thickBot="1" x14ac:dyDescent="0.25">
      <c r="A19" s="125" t="s">
        <v>60</v>
      </c>
      <c r="D19" s="207" t="s">
        <v>139</v>
      </c>
      <c r="E19" s="126"/>
    </row>
    <row r="20" spans="1:13" ht="59.25" customHeight="1" thickBot="1" x14ac:dyDescent="0.3">
      <c r="A20" s="130" t="s">
        <v>62</v>
      </c>
      <c r="B20" s="131" t="s">
        <v>63</v>
      </c>
      <c r="C20" s="131" t="s">
        <v>64</v>
      </c>
      <c r="D20" s="131" t="s">
        <v>65</v>
      </c>
      <c r="E20" s="131" t="s">
        <v>66</v>
      </c>
      <c r="F20" s="732" t="s">
        <v>67</v>
      </c>
      <c r="G20" s="733"/>
      <c r="H20" s="132" t="s">
        <v>68</v>
      </c>
      <c r="I20" s="133"/>
      <c r="J20" s="134"/>
      <c r="K20" s="135"/>
    </row>
    <row r="21" spans="1:13" ht="15.75" thickBot="1" x14ac:dyDescent="0.3">
      <c r="A21" s="139">
        <v>1</v>
      </c>
      <c r="B21" s="140">
        <v>2</v>
      </c>
      <c r="C21" s="140">
        <v>3</v>
      </c>
      <c r="D21" s="140">
        <v>4</v>
      </c>
      <c r="E21" s="140">
        <v>5</v>
      </c>
      <c r="F21" s="734">
        <v>6</v>
      </c>
      <c r="G21" s="734"/>
      <c r="H21" s="141">
        <v>7</v>
      </c>
      <c r="I21" s="142"/>
      <c r="J21" s="143"/>
      <c r="K21" s="144"/>
    </row>
    <row r="22" spans="1:13" ht="15" x14ac:dyDescent="0.2">
      <c r="A22" s="145"/>
      <c r="B22" s="146"/>
      <c r="C22" s="147"/>
      <c r="D22" s="148"/>
      <c r="E22" s="149"/>
      <c r="F22" s="150" t="s">
        <v>69</v>
      </c>
      <c r="G22" s="151">
        <v>15</v>
      </c>
      <c r="H22" s="149"/>
      <c r="I22" s="152">
        <v>0.38</v>
      </c>
      <c r="J22" s="153" t="s">
        <v>70</v>
      </c>
      <c r="K22" s="153"/>
    </row>
    <row r="23" spans="1:13" ht="25.5" x14ac:dyDescent="0.2">
      <c r="A23" s="735">
        <v>1</v>
      </c>
      <c r="B23" s="737" t="s">
        <v>71</v>
      </c>
      <c r="C23" s="157" t="s">
        <v>72</v>
      </c>
      <c r="D23" s="158">
        <f>I22</f>
        <v>0.38</v>
      </c>
      <c r="E23" s="159">
        <v>7913</v>
      </c>
      <c r="F23" s="160" t="s">
        <v>73</v>
      </c>
      <c r="G23" s="161">
        <f>E23*D23*I24*I34</f>
        <v>5863.5330000000004</v>
      </c>
      <c r="H23" s="162">
        <f>E23*D23*I24*I34</f>
        <v>5863.5330000000004</v>
      </c>
      <c r="I23" s="152"/>
      <c r="J23" s="153"/>
      <c r="K23" s="153"/>
    </row>
    <row r="24" spans="1:13" ht="25.5" x14ac:dyDescent="0.2">
      <c r="A24" s="736"/>
      <c r="B24" s="738"/>
      <c r="C24" s="163" t="s">
        <v>74</v>
      </c>
      <c r="D24" s="164">
        <f>I22</f>
        <v>0.38</v>
      </c>
      <c r="E24" s="165">
        <v>4889</v>
      </c>
      <c r="F24" s="160" t="s">
        <v>75</v>
      </c>
      <c r="G24" s="161">
        <f>E24*D24*I30*I31</f>
        <v>3576.3035000000004</v>
      </c>
      <c r="H24" s="162">
        <f>E24*D24*I30*I31*I32</f>
        <v>4291.5642000000007</v>
      </c>
      <c r="I24" s="152">
        <v>1.5</v>
      </c>
      <c r="J24" s="153" t="s">
        <v>76</v>
      </c>
      <c r="K24" s="153"/>
    </row>
    <row r="25" spans="1:13" ht="215.25" customHeight="1" x14ac:dyDescent="0.2">
      <c r="A25" s="166"/>
      <c r="B25" s="167"/>
      <c r="C25" s="163" t="s">
        <v>77</v>
      </c>
      <c r="D25" s="165"/>
      <c r="E25" s="165"/>
      <c r="F25" s="168"/>
      <c r="G25" s="169"/>
      <c r="H25" s="159"/>
      <c r="I25" s="152"/>
      <c r="J25" s="153"/>
      <c r="K25" s="153"/>
    </row>
    <row r="26" spans="1:13" ht="15" hidden="1" x14ac:dyDescent="0.2">
      <c r="A26" s="145"/>
      <c r="B26" s="146"/>
      <c r="C26" s="170"/>
      <c r="D26" s="148"/>
      <c r="E26" s="148"/>
      <c r="F26" s="150" t="s">
        <v>69</v>
      </c>
      <c r="G26" s="171">
        <v>4</v>
      </c>
      <c r="H26" s="172"/>
      <c r="I26" s="152"/>
      <c r="J26" s="153"/>
      <c r="K26" s="153"/>
    </row>
    <row r="27" spans="1:13" ht="72" hidden="1" x14ac:dyDescent="0.2">
      <c r="A27" s="173">
        <v>2</v>
      </c>
      <c r="B27" s="174" t="s">
        <v>78</v>
      </c>
      <c r="C27" s="262" t="s">
        <v>140</v>
      </c>
      <c r="D27" s="176"/>
      <c r="E27" s="176"/>
      <c r="F27" s="168" t="s">
        <v>141</v>
      </c>
      <c r="G27" s="169">
        <f>H23*I38</f>
        <v>1099.4124375000001</v>
      </c>
      <c r="H27" s="177">
        <f>0</f>
        <v>0</v>
      </c>
      <c r="I27" s="152"/>
      <c r="J27" s="153"/>
      <c r="K27" s="153"/>
    </row>
    <row r="28" spans="1:13" ht="15" x14ac:dyDescent="0.2">
      <c r="A28" s="145"/>
      <c r="B28" s="146"/>
      <c r="C28" s="170"/>
      <c r="D28" s="148"/>
      <c r="E28" s="148"/>
      <c r="F28" s="150" t="s">
        <v>69</v>
      </c>
      <c r="G28" s="171">
        <v>5</v>
      </c>
      <c r="H28" s="172"/>
      <c r="I28" s="152"/>
      <c r="J28" s="153"/>
      <c r="K28" s="153"/>
    </row>
    <row r="29" spans="1:13" ht="48" x14ac:dyDescent="0.2">
      <c r="A29" s="173">
        <v>2</v>
      </c>
      <c r="B29" s="174" t="s">
        <v>80</v>
      </c>
      <c r="C29" s="178" t="s">
        <v>142</v>
      </c>
      <c r="D29" s="176"/>
      <c r="E29" s="176"/>
      <c r="F29" s="168" t="s">
        <v>143</v>
      </c>
      <c r="G29" s="169">
        <f>(H23+H27)*I35</f>
        <v>820.89462000000015</v>
      </c>
      <c r="H29" s="177">
        <f>(H23+H27)*I35</f>
        <v>820.89462000000015</v>
      </c>
      <c r="I29" s="152"/>
      <c r="J29" s="153"/>
      <c r="K29" s="153"/>
    </row>
    <row r="30" spans="1:13" ht="15" x14ac:dyDescent="0.2">
      <c r="A30" s="145"/>
      <c r="B30" s="146"/>
      <c r="C30" s="170"/>
      <c r="D30" s="148"/>
      <c r="E30" s="148"/>
      <c r="F30" s="150" t="s">
        <v>81</v>
      </c>
      <c r="G30" s="171">
        <v>13</v>
      </c>
      <c r="H30" s="172"/>
      <c r="I30" s="152">
        <v>1.75</v>
      </c>
      <c r="J30" s="153" t="s">
        <v>82</v>
      </c>
      <c r="K30" s="153"/>
    </row>
    <row r="31" spans="1:13" ht="38.25" x14ac:dyDescent="0.2">
      <c r="A31" s="173">
        <v>3</v>
      </c>
      <c r="B31" s="174" t="s">
        <v>83</v>
      </c>
      <c r="C31" s="178" t="s">
        <v>84</v>
      </c>
      <c r="D31" s="176"/>
      <c r="E31" s="176"/>
      <c r="F31" s="160" t="s">
        <v>85</v>
      </c>
      <c r="G31" s="161">
        <f>(H23+H27)*I40</f>
        <v>351.81198000000001</v>
      </c>
      <c r="H31" s="179">
        <f>(H23+H27)*6%</f>
        <v>351.81198000000001</v>
      </c>
      <c r="I31" s="152">
        <v>1.1000000000000001</v>
      </c>
      <c r="J31" s="153" t="s">
        <v>86</v>
      </c>
      <c r="K31" s="153"/>
    </row>
    <row r="32" spans="1:13" x14ac:dyDescent="0.2">
      <c r="A32" s="739" t="s">
        <v>87</v>
      </c>
      <c r="B32" s="739"/>
      <c r="C32" s="739"/>
      <c r="D32" s="739"/>
      <c r="E32" s="739"/>
      <c r="F32" s="739"/>
      <c r="G32" s="740"/>
      <c r="H32" s="180">
        <f>H23+H24+H27+H29+H31</f>
        <v>11327.803800000002</v>
      </c>
      <c r="I32" s="152">
        <v>1.2</v>
      </c>
      <c r="J32" s="153" t="s">
        <v>364</v>
      </c>
      <c r="K32" s="153"/>
      <c r="L32" s="153"/>
      <c r="M32" s="154"/>
    </row>
    <row r="33" spans="1:11" ht="24" x14ac:dyDescent="0.2">
      <c r="A33" s="181"/>
      <c r="B33" s="167"/>
      <c r="C33" s="95"/>
      <c r="D33" s="154"/>
      <c r="E33" s="263" t="s">
        <v>297</v>
      </c>
      <c r="F33" s="741">
        <v>3.91</v>
      </c>
      <c r="G33" s="742"/>
      <c r="H33" s="183"/>
      <c r="I33" s="152">
        <v>3.91</v>
      </c>
      <c r="J33" s="153" t="s">
        <v>302</v>
      </c>
      <c r="K33" s="153"/>
    </row>
    <row r="34" spans="1:11" ht="16.5" thickBot="1" x14ac:dyDescent="0.3">
      <c r="A34" s="184"/>
      <c r="B34" s="743" t="s">
        <v>89</v>
      </c>
      <c r="C34" s="743"/>
      <c r="D34" s="743"/>
      <c r="E34" s="743"/>
      <c r="F34" s="743"/>
      <c r="G34" s="744"/>
      <c r="H34" s="185">
        <f>H32*F33</f>
        <v>44291.712858000006</v>
      </c>
      <c r="I34" s="186">
        <v>1.3</v>
      </c>
      <c r="J34" s="187" t="s">
        <v>90</v>
      </c>
      <c r="K34" s="188"/>
    </row>
    <row r="35" spans="1:11" ht="43.5" customHeight="1" x14ac:dyDescent="0.2">
      <c r="A35" s="189"/>
      <c r="B35" s="190"/>
      <c r="C35" s="191"/>
      <c r="D35" s="192"/>
      <c r="E35" s="193"/>
      <c r="F35" s="727" t="s">
        <v>91</v>
      </c>
      <c r="G35" s="728"/>
      <c r="H35" s="194">
        <f>E53</f>
        <v>4182.29</v>
      </c>
      <c r="I35" s="195">
        <v>0.14000000000000001</v>
      </c>
      <c r="J35" s="153" t="s">
        <v>92</v>
      </c>
      <c r="K35" s="154"/>
    </row>
    <row r="36" spans="1:11" ht="43.5" customHeight="1" x14ac:dyDescent="0.2">
      <c r="A36" s="189"/>
      <c r="B36" s="190"/>
      <c r="C36" s="191"/>
      <c r="D36" s="192"/>
      <c r="E36" s="193"/>
      <c r="F36" s="841" t="s">
        <v>518</v>
      </c>
      <c r="G36" s="842"/>
      <c r="H36" s="630">
        <f>H34+H35</f>
        <v>48474.002858000007</v>
      </c>
      <c r="I36" s="195"/>
      <c r="J36" s="153"/>
      <c r="K36" s="154"/>
    </row>
    <row r="37" spans="1:11" ht="43.5" customHeight="1" x14ac:dyDescent="0.2">
      <c r="A37" s="189"/>
      <c r="B37" s="190"/>
      <c r="C37" s="191"/>
      <c r="D37" s="192"/>
      <c r="E37" s="193"/>
      <c r="F37" s="843" t="s">
        <v>365</v>
      </c>
      <c r="G37" s="844"/>
      <c r="H37" s="194">
        <f>H36*10%</f>
        <v>4847.4002858000013</v>
      </c>
      <c r="I37" s="195"/>
      <c r="J37" s="153"/>
      <c r="K37" s="154"/>
    </row>
    <row r="38" spans="1:11" ht="15.75" x14ac:dyDescent="0.2">
      <c r="A38" s="716" t="s">
        <v>519</v>
      </c>
      <c r="B38" s="717"/>
      <c r="C38" s="717"/>
      <c r="D38" s="717"/>
      <c r="E38" s="717"/>
      <c r="F38" s="717"/>
      <c r="G38" s="717"/>
      <c r="H38" s="196">
        <f>H36+H37</f>
        <v>53321.403143800009</v>
      </c>
      <c r="I38" s="264">
        <v>0.1875</v>
      </c>
      <c r="J38" s="187" t="s">
        <v>144</v>
      </c>
    </row>
    <row r="39" spans="1:11" ht="15.75" x14ac:dyDescent="0.2">
      <c r="A39" s="530"/>
      <c r="B39" s="530"/>
      <c r="C39" s="530"/>
      <c r="D39" s="530"/>
      <c r="E39" s="530"/>
      <c r="F39" s="530"/>
      <c r="G39" s="530"/>
      <c r="H39" s="531"/>
      <c r="I39" s="264"/>
      <c r="J39" s="187"/>
    </row>
    <row r="40" spans="1:11" ht="15.75" x14ac:dyDescent="0.2">
      <c r="A40" s="198"/>
      <c r="B40" s="199"/>
      <c r="C40" s="199"/>
      <c r="D40" s="199"/>
      <c r="E40" s="199"/>
      <c r="F40" s="199"/>
      <c r="G40" s="199"/>
      <c r="H40" s="200"/>
      <c r="I40" s="265">
        <v>0.06</v>
      </c>
      <c r="J40" s="187" t="s">
        <v>93</v>
      </c>
    </row>
    <row r="44" spans="1:11" x14ac:dyDescent="0.2">
      <c r="G44" s="202" t="s">
        <v>94</v>
      </c>
    </row>
    <row r="45" spans="1:11" x14ac:dyDescent="0.2">
      <c r="G45" s="203" t="s">
        <v>95</v>
      </c>
      <c r="J45" s="203"/>
    </row>
    <row r="47" spans="1:11" ht="15" x14ac:dyDescent="0.25">
      <c r="A47" s="718" t="s">
        <v>96</v>
      </c>
      <c r="B47" s="718"/>
      <c r="C47" s="718"/>
      <c r="D47" s="718"/>
      <c r="E47" s="718"/>
      <c r="F47" s="718"/>
      <c r="G47" s="718"/>
      <c r="H47" s="718"/>
      <c r="I47" s="204"/>
      <c r="J47" s="204"/>
      <c r="K47" s="204"/>
    </row>
    <row r="49" spans="1:11" x14ac:dyDescent="0.2">
      <c r="B49" s="719" t="s">
        <v>145</v>
      </c>
      <c r="C49" s="846"/>
      <c r="D49" s="846"/>
      <c r="E49" s="210">
        <f>((40*2)/40)*674.37</f>
        <v>1348.74</v>
      </c>
      <c r="F49" s="125" t="s">
        <v>98</v>
      </c>
    </row>
    <row r="50" spans="1:11" x14ac:dyDescent="0.2">
      <c r="B50" s="721" t="s">
        <v>146</v>
      </c>
      <c r="C50" s="846"/>
      <c r="D50" s="846"/>
      <c r="E50" s="210">
        <f>205.33*3*2</f>
        <v>1231.98</v>
      </c>
      <c r="F50" s="125" t="s">
        <v>98</v>
      </c>
    </row>
    <row r="51" spans="1:11" ht="13.5" x14ac:dyDescent="0.2">
      <c r="B51" s="719" t="s">
        <v>100</v>
      </c>
      <c r="C51" s="719"/>
      <c r="D51" s="719"/>
      <c r="E51" s="126">
        <f>ROUND((E50*80%),2)</f>
        <v>985.58</v>
      </c>
      <c r="F51" s="125" t="s">
        <v>98</v>
      </c>
    </row>
    <row r="52" spans="1:11" ht="13.5" x14ac:dyDescent="0.2">
      <c r="B52" s="719" t="s">
        <v>101</v>
      </c>
      <c r="C52" s="719"/>
      <c r="D52" s="719"/>
      <c r="E52" s="126">
        <f>ROUND((E50*50%),2)</f>
        <v>615.99</v>
      </c>
      <c r="F52" s="125" t="s">
        <v>98</v>
      </c>
    </row>
    <row r="53" spans="1:11" ht="15.75" x14ac:dyDescent="0.3">
      <c r="B53" s="206" t="s">
        <v>102</v>
      </c>
      <c r="C53" s="207"/>
      <c r="D53" s="207"/>
      <c r="E53" s="208">
        <f>SUM(E49:E52)</f>
        <v>4182.29</v>
      </c>
      <c r="F53" s="124" t="s">
        <v>98</v>
      </c>
    </row>
    <row r="54" spans="1:11" ht="13.5" x14ac:dyDescent="0.25">
      <c r="B54" s="209" t="s">
        <v>103</v>
      </c>
      <c r="E54" s="210">
        <v>0</v>
      </c>
      <c r="F54" s="125" t="s">
        <v>98</v>
      </c>
    </row>
    <row r="55" spans="1:11" ht="15.75" x14ac:dyDescent="0.3">
      <c r="A55" s="124"/>
      <c r="B55" s="206" t="s">
        <v>102</v>
      </c>
      <c r="C55" s="124"/>
      <c r="D55" s="124"/>
      <c r="E55" s="208">
        <v>0</v>
      </c>
      <c r="F55" s="124" t="s">
        <v>98</v>
      </c>
      <c r="G55" s="124"/>
      <c r="H55" s="124"/>
      <c r="I55" s="124"/>
      <c r="J55" s="124"/>
      <c r="K55" s="124"/>
    </row>
    <row r="56" spans="1:11" ht="13.5" x14ac:dyDescent="0.25">
      <c r="B56" s="209"/>
    </row>
    <row r="57" spans="1:11" ht="99.75" customHeight="1" x14ac:dyDescent="0.2">
      <c r="A57" s="266" t="s">
        <v>147</v>
      </c>
      <c r="B57" s="714" t="s">
        <v>105</v>
      </c>
      <c r="C57" s="714"/>
      <c r="D57" s="714"/>
      <c r="E57" s="714"/>
      <c r="F57" s="714"/>
      <c r="G57" s="714"/>
      <c r="H57" s="714"/>
    </row>
    <row r="58" spans="1:11" ht="31.5" customHeight="1" x14ac:dyDescent="0.2">
      <c r="A58" s="267" t="s">
        <v>106</v>
      </c>
      <c r="B58" s="845" t="s">
        <v>148</v>
      </c>
      <c r="C58" s="845"/>
      <c r="D58" s="845"/>
      <c r="E58" s="845"/>
      <c r="F58" s="845"/>
      <c r="G58" s="845"/>
      <c r="I58" s="268"/>
    </row>
  </sheetData>
  <mergeCells count="22">
    <mergeCell ref="F35:G35"/>
    <mergeCell ref="A14:G14"/>
    <mergeCell ref="A15:H15"/>
    <mergeCell ref="A16:H16"/>
    <mergeCell ref="A17:H17"/>
    <mergeCell ref="F20:G20"/>
    <mergeCell ref="F21:G21"/>
    <mergeCell ref="A23:A24"/>
    <mergeCell ref="B23:B24"/>
    <mergeCell ref="A32:G32"/>
    <mergeCell ref="F33:G33"/>
    <mergeCell ref="B34:G34"/>
    <mergeCell ref="F36:G36"/>
    <mergeCell ref="F37:G37"/>
    <mergeCell ref="B57:H57"/>
    <mergeCell ref="B58:G58"/>
    <mergeCell ref="A38:G38"/>
    <mergeCell ref="A47:H47"/>
    <mergeCell ref="B49:D49"/>
    <mergeCell ref="B50:D50"/>
    <mergeCell ref="B51:D51"/>
    <mergeCell ref="B52:D52"/>
  </mergeCells>
  <pageMargins left="0.7" right="0.7" top="0.75" bottom="0.75" header="0.3" footer="0.3"/>
  <pageSetup paperSize="9" scale="55" orientation="portrait" r:id="rId1"/>
  <colBreaks count="1" manualBreakCount="1">
    <brk id="8" max="104857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topLeftCell="A13" zoomScaleNormal="100" zoomScaleSheetLayoutView="100" workbookViewId="0">
      <selection activeCell="E22" sqref="E22"/>
    </sheetView>
  </sheetViews>
  <sheetFormatPr defaultColWidth="11.5703125" defaultRowHeight="12.75" x14ac:dyDescent="0.2"/>
  <cols>
    <col min="1" max="1" width="4.42578125" style="120" customWidth="1"/>
    <col min="2" max="2" width="30.42578125" style="120" customWidth="1"/>
    <col min="3" max="3" width="11.28515625" style="120" bestFit="1" customWidth="1"/>
    <col min="4" max="4" width="5.5703125" style="120" bestFit="1" customWidth="1"/>
    <col min="5" max="5" width="32.5703125" style="8" customWidth="1"/>
    <col min="6" max="6" width="8.28515625" style="8" bestFit="1" customWidth="1"/>
    <col min="7" max="7" width="4.7109375" style="8" customWidth="1"/>
    <col min="8" max="8" width="3.28515625" style="8" customWidth="1"/>
    <col min="9" max="9" width="2.140625" style="8" customWidth="1"/>
    <col min="10" max="10" width="8.42578125" style="8" customWidth="1"/>
    <col min="11" max="11" width="3.28515625" style="8" customWidth="1"/>
    <col min="12" max="12" width="10.5703125" style="8" customWidth="1"/>
    <col min="13" max="13" width="4" style="8" customWidth="1"/>
    <col min="14" max="14" width="3.7109375" style="8" customWidth="1"/>
    <col min="15" max="15" width="11.7109375" style="8" customWidth="1"/>
    <col min="16" max="16" width="11.85546875" style="8" bestFit="1" customWidth="1"/>
    <col min="17" max="16384" width="11.5703125" style="8"/>
  </cols>
  <sheetData>
    <row r="1" spans="1:20" s="2" customFormat="1" x14ac:dyDescent="0.2">
      <c r="A1" s="1" t="s">
        <v>0</v>
      </c>
      <c r="G1" s="1" t="s">
        <v>1</v>
      </c>
      <c r="J1" s="3"/>
      <c r="K1" s="3"/>
      <c r="L1" s="3"/>
    </row>
    <row r="2" spans="1:20" s="2" customFormat="1" x14ac:dyDescent="0.2">
      <c r="G2" s="4"/>
      <c r="J2" s="3"/>
      <c r="K2" s="3"/>
      <c r="L2" s="3"/>
    </row>
    <row r="3" spans="1:20" s="2" customFormat="1" x14ac:dyDescent="0.2">
      <c r="A3" s="4"/>
      <c r="G3" s="4"/>
      <c r="J3" s="3"/>
      <c r="K3" s="3"/>
      <c r="L3" s="3"/>
    </row>
    <row r="4" spans="1:20" s="2" customFormat="1" x14ac:dyDescent="0.2">
      <c r="J4" s="3"/>
      <c r="K4" s="3"/>
      <c r="L4" s="3"/>
    </row>
    <row r="5" spans="1:20" s="2" customFormat="1" x14ac:dyDescent="0.2">
      <c r="A5" s="4"/>
      <c r="G5" s="5"/>
      <c r="J5" s="3"/>
      <c r="K5" s="3"/>
      <c r="L5" s="3"/>
    </row>
    <row r="6" spans="1:20" s="2" customFormat="1" x14ac:dyDescent="0.2">
      <c r="A6" s="4" t="s">
        <v>2</v>
      </c>
      <c r="G6" s="4" t="s">
        <v>2</v>
      </c>
      <c r="J6" s="3"/>
      <c r="K6" s="3"/>
      <c r="L6" s="3"/>
    </row>
    <row r="7" spans="1:20" customFormat="1" ht="15" x14ac:dyDescent="0.25">
      <c r="A7" s="6"/>
      <c r="B7" s="850"/>
      <c r="C7" s="850"/>
      <c r="D7" s="7"/>
      <c r="E7" s="7"/>
      <c r="F7" s="850"/>
      <c r="G7" s="850"/>
      <c r="H7" s="850"/>
      <c r="I7" s="850"/>
      <c r="J7" s="850"/>
      <c r="K7" s="850"/>
      <c r="L7" s="850"/>
    </row>
    <row r="8" spans="1:20" customFormat="1" ht="15" x14ac:dyDescent="0.25">
      <c r="A8" s="6"/>
      <c r="B8" s="851" t="s">
        <v>3</v>
      </c>
      <c r="C8" s="851"/>
      <c r="D8" s="851"/>
      <c r="E8" s="851"/>
      <c r="F8" s="851"/>
      <c r="G8" s="851"/>
      <c r="H8" s="851"/>
      <c r="I8" s="851"/>
      <c r="J8" s="851"/>
      <c r="K8" s="851"/>
      <c r="L8" s="851"/>
    </row>
    <row r="9" spans="1:20" customFormat="1" ht="15" x14ac:dyDescent="0.25">
      <c r="A9" s="852" t="s">
        <v>4</v>
      </c>
      <c r="B9" s="852"/>
      <c r="C9" s="852"/>
      <c r="D9" s="852"/>
      <c r="E9" s="852"/>
      <c r="F9" s="852"/>
      <c r="G9" s="852"/>
      <c r="H9" s="852"/>
      <c r="I9" s="852"/>
      <c r="J9" s="852"/>
      <c r="K9" s="852"/>
      <c r="L9" s="852"/>
      <c r="M9" s="852"/>
      <c r="N9" s="852"/>
      <c r="O9" s="852"/>
    </row>
    <row r="10" spans="1:20" customFormat="1" ht="15.6" customHeight="1" x14ac:dyDescent="0.25">
      <c r="A10" s="853" t="s">
        <v>268</v>
      </c>
      <c r="B10" s="853"/>
      <c r="C10" s="853"/>
      <c r="D10" s="853"/>
      <c r="E10" s="853"/>
      <c r="F10" s="853"/>
      <c r="G10" s="853"/>
      <c r="H10" s="853"/>
      <c r="I10" s="853"/>
      <c r="J10" s="853"/>
      <c r="K10" s="853"/>
      <c r="L10" s="853"/>
      <c r="M10" s="853"/>
      <c r="N10" s="853"/>
      <c r="O10" s="853"/>
    </row>
    <row r="11" spans="1:20" customFormat="1" ht="15" x14ac:dyDescent="0.25">
      <c r="A11" s="852"/>
      <c r="B11" s="852"/>
      <c r="C11" s="852"/>
      <c r="D11" s="852"/>
      <c r="E11" s="852"/>
      <c r="F11" s="852"/>
      <c r="G11" s="852"/>
      <c r="H11" s="852"/>
      <c r="I11" s="852"/>
      <c r="J11" s="852"/>
      <c r="K11" s="852"/>
      <c r="L11" s="852"/>
    </row>
    <row r="12" spans="1:20" ht="13.5" customHeight="1" x14ac:dyDescent="0.2">
      <c r="A12" s="854"/>
      <c r="B12" s="854"/>
      <c r="C12" s="854"/>
      <c r="D12" s="854"/>
      <c r="E12" s="854"/>
      <c r="F12" s="854"/>
      <c r="G12" s="854"/>
      <c r="H12" s="854"/>
      <c r="I12" s="854"/>
      <c r="J12" s="854"/>
      <c r="K12" s="854"/>
      <c r="L12" s="854"/>
      <c r="M12" s="854"/>
      <c r="N12" s="854"/>
      <c r="O12" s="854"/>
    </row>
    <row r="13" spans="1:20" ht="13.5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1"/>
      <c r="Q13" s="12"/>
      <c r="R13" s="13"/>
      <c r="S13" s="12"/>
      <c r="T13" s="14"/>
    </row>
    <row r="14" spans="1:20" x14ac:dyDescent="0.2">
      <c r="A14" s="15" t="s">
        <v>5</v>
      </c>
      <c r="B14" s="16" t="s">
        <v>6</v>
      </c>
      <c r="C14" s="18"/>
      <c r="D14" s="17"/>
      <c r="E14" s="855" t="s">
        <v>7</v>
      </c>
      <c r="F14" s="856"/>
      <c r="G14" s="855" t="s">
        <v>8</v>
      </c>
      <c r="H14" s="857"/>
      <c r="I14" s="857"/>
      <c r="J14" s="857"/>
      <c r="K14" s="857"/>
      <c r="L14" s="857"/>
      <c r="M14" s="857"/>
      <c r="N14" s="857"/>
      <c r="O14" s="17" t="s">
        <v>9</v>
      </c>
    </row>
    <row r="15" spans="1:20" x14ac:dyDescent="0.2">
      <c r="A15" s="19" t="s">
        <v>10</v>
      </c>
      <c r="B15" s="20" t="s">
        <v>11</v>
      </c>
      <c r="C15" s="22"/>
      <c r="D15" s="21"/>
      <c r="E15" s="847" t="s">
        <v>12</v>
      </c>
      <c r="F15" s="848"/>
      <c r="G15" s="847" t="s">
        <v>13</v>
      </c>
      <c r="H15" s="849"/>
      <c r="I15" s="849"/>
      <c r="J15" s="849"/>
      <c r="K15" s="849"/>
      <c r="L15" s="849"/>
      <c r="M15" s="849"/>
      <c r="N15" s="849"/>
      <c r="O15" s="21"/>
    </row>
    <row r="16" spans="1:20" x14ac:dyDescent="0.2">
      <c r="A16" s="19" t="s">
        <v>14</v>
      </c>
      <c r="B16" s="20" t="s">
        <v>15</v>
      </c>
      <c r="C16" s="22"/>
      <c r="D16" s="21"/>
      <c r="E16" s="847" t="s">
        <v>16</v>
      </c>
      <c r="F16" s="848"/>
      <c r="G16" s="847" t="s">
        <v>17</v>
      </c>
      <c r="H16" s="849"/>
      <c r="I16" s="849"/>
      <c r="J16" s="849"/>
      <c r="K16" s="849"/>
      <c r="L16" s="849"/>
      <c r="M16" s="849"/>
      <c r="N16" s="849"/>
      <c r="O16" s="21" t="s">
        <v>18</v>
      </c>
    </row>
    <row r="17" spans="1:17" x14ac:dyDescent="0.2">
      <c r="A17" s="19"/>
      <c r="B17" s="20" t="s">
        <v>19</v>
      </c>
      <c r="C17" s="22"/>
      <c r="D17" s="21"/>
      <c r="E17" s="847" t="s">
        <v>20</v>
      </c>
      <c r="F17" s="848"/>
      <c r="G17" s="847" t="s">
        <v>21</v>
      </c>
      <c r="H17" s="849"/>
      <c r="I17" s="849"/>
      <c r="J17" s="849"/>
      <c r="K17" s="849"/>
      <c r="L17" s="849"/>
      <c r="M17" s="849"/>
      <c r="N17" s="849"/>
      <c r="O17" s="21"/>
    </row>
    <row r="18" spans="1:17" x14ac:dyDescent="0.2">
      <c r="A18" s="23"/>
      <c r="B18" s="20"/>
      <c r="C18" s="22"/>
      <c r="D18" s="21"/>
      <c r="E18" s="847" t="s">
        <v>22</v>
      </c>
      <c r="F18" s="848"/>
      <c r="G18" s="847" t="s">
        <v>23</v>
      </c>
      <c r="H18" s="849"/>
      <c r="I18" s="849"/>
      <c r="J18" s="849"/>
      <c r="K18" s="849"/>
      <c r="L18" s="849"/>
      <c r="M18" s="849"/>
      <c r="N18" s="849"/>
      <c r="O18" s="24"/>
    </row>
    <row r="19" spans="1:17" ht="12.75" customHeight="1" x14ac:dyDescent="0.2">
      <c r="A19" s="16">
        <v>1</v>
      </c>
      <c r="B19" s="25" t="s">
        <v>24</v>
      </c>
      <c r="C19" s="26"/>
      <c r="D19" s="27"/>
      <c r="E19" s="28" t="s">
        <v>25</v>
      </c>
      <c r="F19" s="29"/>
      <c r="G19" s="30">
        <v>174</v>
      </c>
      <c r="H19" s="31" t="s">
        <v>26</v>
      </c>
      <c r="I19" s="32" t="s">
        <v>27</v>
      </c>
      <c r="J19" s="32">
        <v>174</v>
      </c>
      <c r="K19" s="31" t="s">
        <v>26</v>
      </c>
      <c r="L19" s="33">
        <v>97</v>
      </c>
      <c r="M19" s="34" t="s">
        <v>28</v>
      </c>
      <c r="N19" s="35" t="s">
        <v>29</v>
      </c>
      <c r="O19" s="36">
        <f>((174-((174-97)/(2-1))*(2-1.45774))*1000)</f>
        <v>132245.98000000001</v>
      </c>
      <c r="Q19" s="37"/>
    </row>
    <row r="20" spans="1:17" x14ac:dyDescent="0.2">
      <c r="A20" s="20"/>
      <c r="B20" s="38" t="s">
        <v>361</v>
      </c>
      <c r="C20" s="39">
        <f>'смр КЛ 10кВ'!G36</f>
        <v>8928.89</v>
      </c>
      <c r="D20" s="40" t="s">
        <v>30</v>
      </c>
      <c r="E20" s="41" t="s">
        <v>31</v>
      </c>
      <c r="F20" s="42"/>
      <c r="G20" s="43"/>
      <c r="H20" s="44"/>
      <c r="I20" s="44" t="s">
        <v>27</v>
      </c>
      <c r="J20" s="45">
        <v>2000</v>
      </c>
      <c r="K20" s="44" t="s">
        <v>26</v>
      </c>
      <c r="L20" s="45">
        <v>1000</v>
      </c>
      <c r="M20" s="44" t="s">
        <v>28</v>
      </c>
      <c r="N20" s="46" t="s">
        <v>32</v>
      </c>
      <c r="O20" s="36"/>
    </row>
    <row r="21" spans="1:17" x14ac:dyDescent="0.2">
      <c r="A21" s="20"/>
      <c r="B21" s="38"/>
      <c r="C21" s="39"/>
      <c r="D21" s="40"/>
      <c r="E21" s="41" t="s">
        <v>33</v>
      </c>
      <c r="F21" s="42"/>
      <c r="G21" s="47"/>
      <c r="H21" s="48"/>
      <c r="I21" s="48" t="s">
        <v>27</v>
      </c>
      <c r="J21" s="48">
        <v>2000</v>
      </c>
      <c r="K21" s="48" t="s">
        <v>26</v>
      </c>
      <c r="L21" s="49">
        <f>C26</f>
        <v>1757.6555118110234</v>
      </c>
      <c r="M21" s="48" t="s">
        <v>28</v>
      </c>
      <c r="N21" s="50"/>
      <c r="O21" s="36"/>
    </row>
    <row r="22" spans="1:17" x14ac:dyDescent="0.2">
      <c r="A22" s="20"/>
      <c r="B22" s="38"/>
      <c r="C22" s="39"/>
      <c r="D22" s="40"/>
      <c r="E22" s="41" t="s">
        <v>34</v>
      </c>
      <c r="F22" s="42"/>
      <c r="G22" s="43"/>
      <c r="H22" s="44"/>
      <c r="I22" s="45"/>
      <c r="J22" s="44"/>
      <c r="K22" s="44"/>
      <c r="L22" s="44"/>
      <c r="M22" s="44"/>
      <c r="N22" s="51"/>
      <c r="O22" s="36"/>
    </row>
    <row r="23" spans="1:17" x14ac:dyDescent="0.2">
      <c r="A23" s="20"/>
      <c r="B23" s="38"/>
      <c r="C23" s="39"/>
      <c r="D23" s="40"/>
      <c r="E23" s="52"/>
      <c r="F23" s="42"/>
      <c r="G23" s="43"/>
      <c r="H23" s="44"/>
      <c r="I23" s="45"/>
      <c r="J23" s="44"/>
      <c r="K23" s="44"/>
      <c r="L23" s="44"/>
      <c r="M23" s="44"/>
      <c r="N23" s="51"/>
      <c r="O23" s="36"/>
    </row>
    <row r="24" spans="1:17" x14ac:dyDescent="0.2">
      <c r="A24" s="20"/>
      <c r="B24" s="38"/>
      <c r="C24" s="39"/>
      <c r="D24" s="40"/>
      <c r="E24" s="52"/>
      <c r="F24" s="42"/>
      <c r="G24" s="43"/>
      <c r="H24" s="44"/>
      <c r="I24" s="45"/>
      <c r="J24" s="44"/>
      <c r="K24" s="44"/>
      <c r="L24" s="44"/>
      <c r="M24" s="44"/>
      <c r="N24" s="51"/>
      <c r="O24" s="36"/>
    </row>
    <row r="25" spans="1:17" x14ac:dyDescent="0.2">
      <c r="A25" s="20"/>
      <c r="B25" s="53"/>
      <c r="C25" s="54"/>
      <c r="D25" s="55"/>
      <c r="E25" s="52"/>
      <c r="F25" s="42"/>
      <c r="G25" s="47"/>
      <c r="H25" s="48"/>
      <c r="I25" s="48"/>
      <c r="J25" s="48"/>
      <c r="K25" s="48"/>
      <c r="L25" s="48"/>
      <c r="M25" s="48"/>
      <c r="N25" s="56"/>
      <c r="O25" s="36"/>
    </row>
    <row r="26" spans="1:17" x14ac:dyDescent="0.2">
      <c r="A26" s="20"/>
      <c r="B26" s="52" t="s">
        <v>35</v>
      </c>
      <c r="C26" s="57">
        <f>C20/5.08</f>
        <v>1757.6555118110234</v>
      </c>
      <c r="D26" s="40" t="s">
        <v>30</v>
      </c>
      <c r="E26" s="52"/>
      <c r="F26" s="42"/>
      <c r="G26" s="47"/>
      <c r="H26" s="48"/>
      <c r="I26" s="48"/>
      <c r="J26" s="48"/>
      <c r="K26" s="48"/>
      <c r="L26" s="48"/>
      <c r="M26" s="48"/>
      <c r="N26" s="50"/>
      <c r="O26" s="36"/>
    </row>
    <row r="27" spans="1:17" x14ac:dyDescent="0.2">
      <c r="A27" s="20"/>
      <c r="B27" s="52"/>
      <c r="C27" s="57"/>
      <c r="D27" s="40"/>
      <c r="E27" s="52"/>
      <c r="F27" s="42"/>
      <c r="G27" s="47"/>
      <c r="H27" s="48"/>
      <c r="I27" s="48"/>
      <c r="J27" s="48"/>
      <c r="K27" s="48"/>
      <c r="L27" s="48"/>
      <c r="M27" s="48"/>
      <c r="N27" s="50"/>
      <c r="O27" s="36"/>
    </row>
    <row r="28" spans="1:17" x14ac:dyDescent="0.2">
      <c r="A28" s="20"/>
      <c r="B28" s="38"/>
      <c r="C28" s="57"/>
      <c r="D28" s="40"/>
      <c r="E28" s="52"/>
      <c r="F28" s="42"/>
      <c r="G28" s="847"/>
      <c r="H28" s="849"/>
      <c r="I28" s="849"/>
      <c r="J28" s="849"/>
      <c r="K28" s="849"/>
      <c r="L28" s="849"/>
      <c r="M28" s="849"/>
      <c r="N28" s="848"/>
      <c r="O28" s="36"/>
    </row>
    <row r="29" spans="1:17" x14ac:dyDescent="0.2">
      <c r="A29" s="20"/>
      <c r="B29" s="38"/>
      <c r="C29" s="57"/>
      <c r="D29" s="40"/>
      <c r="E29" s="52"/>
      <c r="F29" s="42"/>
      <c r="G29" s="47"/>
      <c r="H29" s="48"/>
      <c r="I29" s="48"/>
      <c r="J29" s="48"/>
      <c r="K29" s="48"/>
      <c r="L29" s="48"/>
      <c r="M29" s="48"/>
      <c r="N29" s="50"/>
      <c r="O29" s="36"/>
    </row>
    <row r="30" spans="1:17" x14ac:dyDescent="0.2">
      <c r="A30" s="20"/>
      <c r="B30" s="38"/>
      <c r="C30" s="57"/>
      <c r="D30" s="40"/>
      <c r="E30" s="52"/>
      <c r="F30" s="42"/>
      <c r="G30" s="47"/>
      <c r="H30" s="48"/>
      <c r="I30" s="48"/>
      <c r="J30" s="48"/>
      <c r="K30" s="48"/>
      <c r="L30" s="48"/>
      <c r="M30" s="48"/>
      <c r="N30" s="50"/>
      <c r="O30" s="36"/>
    </row>
    <row r="31" spans="1:17" x14ac:dyDescent="0.2">
      <c r="A31" s="20"/>
      <c r="B31" s="58"/>
      <c r="C31" s="41"/>
      <c r="D31" s="42"/>
      <c r="G31" s="59"/>
      <c r="H31" s="60"/>
      <c r="I31" s="60"/>
      <c r="J31" s="60"/>
      <c r="K31" s="60"/>
      <c r="L31" s="60"/>
      <c r="M31" s="60"/>
      <c r="N31" s="61"/>
      <c r="O31" s="36"/>
    </row>
    <row r="32" spans="1:17" x14ac:dyDescent="0.2">
      <c r="A32" s="20"/>
      <c r="B32" s="58"/>
      <c r="C32" s="41"/>
      <c r="D32" s="42"/>
      <c r="E32" s="41" t="s">
        <v>38</v>
      </c>
      <c r="F32" s="62">
        <v>1</v>
      </c>
      <c r="G32" s="47"/>
      <c r="H32" s="48"/>
      <c r="I32" s="48"/>
      <c r="J32" s="48"/>
      <c r="K32" s="48"/>
      <c r="L32" s="48"/>
      <c r="M32" s="48"/>
      <c r="N32" s="50"/>
      <c r="O32" s="36"/>
    </row>
    <row r="33" spans="1:18" x14ac:dyDescent="0.2">
      <c r="A33" s="20"/>
      <c r="B33" s="38"/>
      <c r="C33" s="41"/>
      <c r="D33" s="42"/>
      <c r="E33" s="63" t="s">
        <v>39</v>
      </c>
      <c r="F33" s="62">
        <v>1</v>
      </c>
      <c r="G33" s="47"/>
      <c r="H33" s="48"/>
      <c r="I33" s="48"/>
      <c r="J33" s="48"/>
      <c r="K33" s="48"/>
      <c r="L33" s="48"/>
      <c r="M33" s="48"/>
      <c r="N33" s="50"/>
      <c r="O33" s="36"/>
    </row>
    <row r="34" spans="1:18" hidden="1" x14ac:dyDescent="0.2">
      <c r="A34" s="20"/>
      <c r="B34" s="38"/>
      <c r="C34" s="41"/>
      <c r="D34" s="42"/>
      <c r="E34" s="63" t="s">
        <v>40</v>
      </c>
      <c r="F34" s="62">
        <v>0.98</v>
      </c>
      <c r="G34" s="64"/>
      <c r="H34" s="65"/>
      <c r="I34" s="65"/>
      <c r="J34" s="65"/>
      <c r="K34" s="65"/>
      <c r="L34" s="65"/>
      <c r="M34" s="65"/>
      <c r="N34" s="66"/>
      <c r="O34" s="67"/>
    </row>
    <row r="35" spans="1:18" x14ac:dyDescent="0.2">
      <c r="A35" s="20"/>
      <c r="B35" s="68"/>
      <c r="C35" s="69"/>
      <c r="D35" s="70"/>
      <c r="E35" s="71" t="s">
        <v>41</v>
      </c>
      <c r="F35" s="72">
        <f>F32*F33</f>
        <v>1</v>
      </c>
      <c r="G35" s="73"/>
      <c r="H35" s="74"/>
      <c r="I35" s="74"/>
      <c r="J35" s="74"/>
      <c r="K35" s="74"/>
      <c r="L35" s="74"/>
      <c r="M35" s="74"/>
      <c r="N35" s="75"/>
      <c r="O35" s="36">
        <f>O19*F35</f>
        <v>132245.98000000001</v>
      </c>
    </row>
    <row r="36" spans="1:18" x14ac:dyDescent="0.2">
      <c r="A36" s="20">
        <v>4</v>
      </c>
      <c r="B36" s="52" t="s">
        <v>42</v>
      </c>
      <c r="C36" s="41"/>
      <c r="D36" s="42"/>
      <c r="E36" s="76" t="s">
        <v>43</v>
      </c>
      <c r="F36" s="41"/>
      <c r="G36" s="77"/>
      <c r="H36" s="78"/>
      <c r="I36" s="79"/>
      <c r="J36" s="80">
        <f>O35</f>
        <v>132245.98000000001</v>
      </c>
      <c r="K36" s="28"/>
      <c r="L36" s="28">
        <v>3.83</v>
      </c>
      <c r="M36" s="28"/>
      <c r="N36" s="29"/>
      <c r="O36" s="81">
        <f>J36*L36</f>
        <v>506502.10340000002</v>
      </c>
      <c r="Q36" s="37"/>
    </row>
    <row r="37" spans="1:18" x14ac:dyDescent="0.2">
      <c r="A37" s="20"/>
      <c r="B37" s="52" t="s">
        <v>299</v>
      </c>
      <c r="C37" s="41"/>
      <c r="D37" s="42"/>
      <c r="E37" s="82" t="s">
        <v>301</v>
      </c>
      <c r="F37" s="41"/>
      <c r="G37" s="52"/>
      <c r="H37" s="41"/>
      <c r="I37" s="41"/>
      <c r="J37" s="41"/>
      <c r="K37" s="41"/>
      <c r="L37" s="41"/>
      <c r="M37" s="41"/>
      <c r="N37" s="42"/>
      <c r="O37" s="36"/>
    </row>
    <row r="38" spans="1:18" x14ac:dyDescent="0.2">
      <c r="A38" s="20"/>
      <c r="B38" s="52"/>
      <c r="C38" s="41"/>
      <c r="D38" s="42"/>
      <c r="E38" s="82"/>
      <c r="F38" s="41"/>
      <c r="G38" s="52"/>
      <c r="H38" s="41"/>
      <c r="I38" s="41"/>
      <c r="J38" s="41"/>
      <c r="K38" s="41"/>
      <c r="L38" s="41"/>
      <c r="M38" s="41"/>
      <c r="N38" s="42"/>
      <c r="O38" s="36"/>
    </row>
    <row r="39" spans="1:18" x14ac:dyDescent="0.2">
      <c r="A39" s="20"/>
      <c r="B39" s="52"/>
      <c r="C39" s="41"/>
      <c r="D39" s="42"/>
      <c r="E39" s="83" t="s">
        <v>300</v>
      </c>
      <c r="F39" s="41"/>
      <c r="G39" s="52"/>
      <c r="H39" s="41"/>
      <c r="I39" s="41"/>
      <c r="J39" s="41"/>
      <c r="K39" s="41"/>
      <c r="L39" s="41"/>
      <c r="M39" s="41"/>
      <c r="N39" s="42"/>
      <c r="O39" s="36"/>
    </row>
    <row r="40" spans="1:18" x14ac:dyDescent="0.2">
      <c r="A40" s="84"/>
      <c r="B40" s="52"/>
      <c r="C40" s="41"/>
      <c r="D40" s="42"/>
      <c r="E40" s="83" t="s">
        <v>44</v>
      </c>
      <c r="F40" s="41"/>
      <c r="G40" s="85"/>
      <c r="H40" s="69"/>
      <c r="I40" s="69"/>
      <c r="J40" s="69"/>
      <c r="K40" s="69"/>
      <c r="L40" s="69"/>
      <c r="M40" s="69"/>
      <c r="N40" s="70"/>
      <c r="O40" s="86"/>
      <c r="Q40" s="87"/>
    </row>
    <row r="41" spans="1:18" x14ac:dyDescent="0.2">
      <c r="A41" s="16">
        <v>5</v>
      </c>
      <c r="B41" s="88" t="s">
        <v>45</v>
      </c>
      <c r="C41" s="89"/>
      <c r="D41" s="90"/>
      <c r="E41" s="28"/>
      <c r="F41" s="29"/>
      <c r="G41" s="25"/>
      <c r="H41" s="28"/>
      <c r="I41" s="28"/>
      <c r="J41" s="28"/>
      <c r="K41" s="28"/>
      <c r="L41" s="28"/>
      <c r="M41" s="28"/>
      <c r="N41" s="29"/>
      <c r="O41" s="91">
        <f>SUM(O36)</f>
        <v>506502.10340000002</v>
      </c>
      <c r="P41" s="87"/>
    </row>
    <row r="42" spans="1:18" x14ac:dyDescent="0.2">
      <c r="A42" s="84"/>
      <c r="B42" s="92" t="str">
        <f>B37</f>
        <v>в ценах на 1 кв.2018г</v>
      </c>
      <c r="C42" s="93"/>
      <c r="D42" s="94"/>
      <c r="E42" s="41"/>
      <c r="F42" s="42"/>
      <c r="G42" s="52"/>
      <c r="H42" s="41"/>
      <c r="I42" s="41"/>
      <c r="J42" s="41"/>
      <c r="K42" s="41"/>
      <c r="L42" s="41"/>
      <c r="M42" s="41"/>
      <c r="N42" s="42"/>
      <c r="O42" s="86"/>
    </row>
    <row r="43" spans="1:18" hidden="1" x14ac:dyDescent="0.2">
      <c r="A43" s="84"/>
      <c r="B43" s="858" t="s">
        <v>46</v>
      </c>
      <c r="C43" s="859"/>
      <c r="D43" s="860"/>
      <c r="E43" s="95" t="s">
        <v>47</v>
      </c>
      <c r="F43" s="95">
        <v>1</v>
      </c>
      <c r="G43" s="865"/>
      <c r="H43" s="866"/>
      <c r="I43" s="866"/>
      <c r="J43" s="866"/>
      <c r="K43" s="866"/>
      <c r="L43" s="866"/>
      <c r="M43" s="866"/>
      <c r="N43" s="867"/>
      <c r="O43" s="86">
        <f>O41*F43</f>
        <v>506502.10340000002</v>
      </c>
    </row>
    <row r="44" spans="1:18" ht="26.25" hidden="1" customHeight="1" x14ac:dyDescent="0.2">
      <c r="A44" s="84"/>
      <c r="B44" s="858" t="s">
        <v>48</v>
      </c>
      <c r="C44" s="859"/>
      <c r="D44" s="860"/>
      <c r="E44" s="95" t="s">
        <v>49</v>
      </c>
      <c r="F44" s="95"/>
      <c r="G44" s="861">
        <f>O43*F44</f>
        <v>0</v>
      </c>
      <c r="H44" s="862"/>
      <c r="I44" s="862"/>
      <c r="J44" s="862"/>
      <c r="K44" s="862"/>
      <c r="L44" s="862"/>
      <c r="M44" s="862"/>
      <c r="N44" s="863"/>
      <c r="O44" s="86">
        <f>O43+G44</f>
        <v>506502.10340000002</v>
      </c>
    </row>
    <row r="45" spans="1:18" hidden="1" x14ac:dyDescent="0.2">
      <c r="A45" s="84"/>
      <c r="B45" s="96"/>
      <c r="C45" s="97"/>
      <c r="D45" s="98"/>
      <c r="E45" s="41"/>
      <c r="F45" s="42"/>
      <c r="G45" s="99"/>
      <c r="H45" s="100"/>
      <c r="I45" s="100"/>
      <c r="J45" s="100"/>
      <c r="K45" s="100"/>
      <c r="L45" s="100"/>
      <c r="M45" s="100"/>
      <c r="N45" s="101"/>
      <c r="O45" s="86"/>
    </row>
    <row r="46" spans="1:18" x14ac:dyDescent="0.2">
      <c r="A46" s="102">
        <v>6</v>
      </c>
      <c r="B46" s="88" t="s">
        <v>50</v>
      </c>
      <c r="C46" s="89"/>
      <c r="D46" s="90"/>
      <c r="E46" s="103"/>
      <c r="F46" s="104"/>
      <c r="G46" s="25"/>
      <c r="H46" s="28"/>
      <c r="I46" s="28"/>
      <c r="J46" s="28"/>
      <c r="K46" s="28"/>
      <c r="L46" s="28"/>
      <c r="M46" s="28"/>
      <c r="N46" s="29"/>
      <c r="O46" s="81">
        <f>O41*0.18</f>
        <v>91170.378612</v>
      </c>
      <c r="Q46" s="87"/>
    </row>
    <row r="47" spans="1:18" x14ac:dyDescent="0.2">
      <c r="A47" s="102">
        <v>7</v>
      </c>
      <c r="B47" s="105" t="s">
        <v>51</v>
      </c>
      <c r="C47" s="106"/>
      <c r="D47" s="107"/>
      <c r="E47" s="108"/>
      <c r="F47" s="109"/>
      <c r="G47" s="110"/>
      <c r="H47" s="111"/>
      <c r="I47" s="111"/>
      <c r="J47" s="111"/>
      <c r="K47" s="111"/>
      <c r="L47" s="111"/>
      <c r="M47" s="111"/>
      <c r="N47" s="112"/>
      <c r="O47" s="113">
        <f>SUM(O41+O46)</f>
        <v>597672.48201200005</v>
      </c>
      <c r="Q47" s="114"/>
      <c r="R47" s="87"/>
    </row>
    <row r="48" spans="1:18" ht="12.75" customHeight="1" x14ac:dyDescent="0.2">
      <c r="A48" s="41"/>
      <c r="B48" s="41"/>
      <c r="C48" s="41"/>
      <c r="D48" s="41"/>
      <c r="E48" s="41"/>
      <c r="F48" s="41"/>
      <c r="G48" s="115"/>
      <c r="H48" s="115"/>
      <c r="I48" s="115"/>
      <c r="J48" s="115"/>
      <c r="K48" s="115"/>
      <c r="L48" s="115"/>
      <c r="M48" s="115"/>
      <c r="N48" s="115"/>
      <c r="O48" s="115"/>
    </row>
    <row r="49" spans="1:15" x14ac:dyDescent="0.2">
      <c r="A49" s="116"/>
      <c r="B49" s="116"/>
      <c r="C49" s="116"/>
      <c r="D49" s="116"/>
      <c r="E49" s="116"/>
      <c r="F49" s="116"/>
      <c r="G49" s="117"/>
      <c r="H49" s="117"/>
      <c r="I49" s="117"/>
      <c r="J49" s="117"/>
      <c r="K49" s="117"/>
      <c r="L49" s="117"/>
      <c r="M49" s="117"/>
      <c r="N49" s="117"/>
      <c r="O49" s="117"/>
    </row>
    <row r="50" spans="1:15" x14ac:dyDescent="0.2">
      <c r="A50" s="116"/>
      <c r="B50" s="864" t="s">
        <v>52</v>
      </c>
      <c r="C50" s="864"/>
      <c r="D50" s="864"/>
      <c r="E50" s="864"/>
      <c r="F50" s="118"/>
      <c r="G50" s="115"/>
      <c r="H50" s="115"/>
      <c r="I50" s="115"/>
      <c r="J50" s="115"/>
      <c r="K50" s="115"/>
      <c r="L50" s="115"/>
      <c r="M50" s="115"/>
      <c r="N50" s="115"/>
      <c r="O50" s="119"/>
    </row>
    <row r="51" spans="1:15" x14ac:dyDescent="0.2">
      <c r="A51" s="116"/>
      <c r="B51" s="118"/>
      <c r="C51" s="118"/>
      <c r="D51" s="118"/>
      <c r="E51" s="118"/>
      <c r="F51" s="118"/>
      <c r="G51" s="115"/>
      <c r="H51" s="115"/>
      <c r="I51" s="115"/>
      <c r="J51" s="115"/>
      <c r="K51" s="115"/>
      <c r="L51" s="115"/>
      <c r="M51" s="115"/>
      <c r="N51" s="115"/>
      <c r="O51" s="119"/>
    </row>
    <row r="52" spans="1:15" x14ac:dyDescent="0.2">
      <c r="A52" s="116"/>
      <c r="B52" s="118"/>
      <c r="C52" s="118"/>
      <c r="D52" s="118"/>
      <c r="E52" s="118"/>
      <c r="F52" s="118"/>
      <c r="G52" s="115"/>
      <c r="H52" s="115"/>
      <c r="I52" s="115"/>
      <c r="J52" s="115"/>
      <c r="K52" s="115"/>
      <c r="L52" s="115"/>
      <c r="M52" s="115"/>
      <c r="N52" s="115"/>
      <c r="O52" s="119"/>
    </row>
    <row r="53" spans="1:15" x14ac:dyDescent="0.2">
      <c r="B53" s="864" t="s">
        <v>53</v>
      </c>
      <c r="C53" s="864"/>
      <c r="D53" s="864"/>
      <c r="E53" s="864"/>
      <c r="F53" s="121"/>
      <c r="G53" s="122"/>
      <c r="H53" s="122"/>
      <c r="I53" s="122"/>
      <c r="J53" s="122"/>
      <c r="K53" s="122"/>
      <c r="L53" s="122"/>
      <c r="M53" s="122"/>
      <c r="N53" s="122"/>
      <c r="O53" s="123"/>
    </row>
  </sheetData>
  <mergeCells count="24">
    <mergeCell ref="B44:D44"/>
    <mergeCell ref="G44:N44"/>
    <mergeCell ref="B50:E50"/>
    <mergeCell ref="B53:E53"/>
    <mergeCell ref="E17:F17"/>
    <mergeCell ref="G17:N17"/>
    <mergeCell ref="E18:F18"/>
    <mergeCell ref="G18:N18"/>
    <mergeCell ref="G28:N28"/>
    <mergeCell ref="B43:D43"/>
    <mergeCell ref="G43:N43"/>
    <mergeCell ref="E16:F16"/>
    <mergeCell ref="G16:N16"/>
    <mergeCell ref="B7:C7"/>
    <mergeCell ref="F7:L7"/>
    <mergeCell ref="B8:L8"/>
    <mergeCell ref="A9:O9"/>
    <mergeCell ref="A10:O10"/>
    <mergeCell ref="A11:L11"/>
    <mergeCell ref="A12:O12"/>
    <mergeCell ref="E14:F14"/>
    <mergeCell ref="G14:N14"/>
    <mergeCell ref="E15:F15"/>
    <mergeCell ref="G15:N1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Q109"/>
  <sheetViews>
    <sheetView showGridLines="0" topLeftCell="A13" zoomScaleNormal="100" zoomScaleSheetLayoutView="100" workbookViewId="0">
      <selection activeCell="C34" sqref="C34"/>
    </sheetView>
  </sheetViews>
  <sheetFormatPr defaultRowHeight="12.75" x14ac:dyDescent="0.2"/>
  <cols>
    <col min="1" max="1" width="4.28515625" style="269" customWidth="1"/>
    <col min="2" max="2" width="50.42578125" style="269" customWidth="1"/>
    <col min="3" max="3" width="20.140625" style="278" customWidth="1"/>
    <col min="4" max="4" width="13.28515625" style="278" customWidth="1"/>
    <col min="5" max="5" width="17.7109375" style="278" customWidth="1"/>
    <col min="6" max="6" width="16.42578125" style="278" customWidth="1"/>
    <col min="7" max="7" width="15" style="278" customWidth="1"/>
    <col min="8" max="8" width="2.140625" style="269" hidden="1" customWidth="1"/>
    <col min="9" max="9" width="9.28515625" style="269" hidden="1" customWidth="1"/>
    <col min="10" max="10" width="9.140625" style="269" hidden="1" customWidth="1"/>
    <col min="11" max="11" width="11.28515625" style="269" bestFit="1" customWidth="1"/>
    <col min="12" max="16384" width="9.140625" style="269"/>
  </cols>
  <sheetData>
    <row r="1" spans="1:10" ht="0.75" customHeight="1" x14ac:dyDescent="0.2">
      <c r="A1" s="881" t="s">
        <v>151</v>
      </c>
      <c r="B1" s="881"/>
      <c r="C1" s="881"/>
      <c r="D1" s="881"/>
      <c r="E1" s="881"/>
      <c r="F1" s="881"/>
      <c r="G1" s="881"/>
    </row>
    <row r="2" spans="1:10" s="271" customFormat="1" ht="19.7" customHeight="1" x14ac:dyDescent="0.25">
      <c r="A2" s="882" t="s">
        <v>0</v>
      </c>
      <c r="B2" s="882"/>
      <c r="C2" s="270"/>
      <c r="D2" s="270"/>
      <c r="E2" s="883"/>
      <c r="F2" s="883"/>
      <c r="G2" s="883"/>
    </row>
    <row r="3" spans="1:10" s="271" customFormat="1" ht="19.7" customHeight="1" x14ac:dyDescent="0.25">
      <c r="A3" s="882"/>
      <c r="B3" s="882"/>
      <c r="C3" s="270"/>
      <c r="D3" s="270"/>
      <c r="E3" s="883"/>
      <c r="F3" s="883"/>
      <c r="G3" s="883"/>
    </row>
    <row r="4" spans="1:10" s="271" customFormat="1" ht="19.7" customHeight="1" x14ac:dyDescent="0.25">
      <c r="A4" s="882"/>
      <c r="B4" s="882"/>
      <c r="C4" s="270"/>
      <c r="D4" s="270"/>
      <c r="E4" s="883"/>
      <c r="F4" s="883"/>
      <c r="G4" s="883"/>
    </row>
    <row r="5" spans="1:10" s="271" customFormat="1" ht="18.75" customHeight="1" x14ac:dyDescent="0.25">
      <c r="A5" s="882"/>
      <c r="B5" s="882"/>
      <c r="C5" s="270"/>
      <c r="D5" s="270"/>
      <c r="E5" s="883"/>
      <c r="F5" s="883"/>
      <c r="G5" s="883"/>
    </row>
    <row r="6" spans="1:10" s="271" customFormat="1" ht="18.75" customHeight="1" x14ac:dyDescent="0.25">
      <c r="A6" s="882" t="s">
        <v>152</v>
      </c>
      <c r="B6" s="882"/>
      <c r="C6" s="270"/>
      <c r="D6" s="270"/>
      <c r="E6" s="883"/>
      <c r="F6" s="883"/>
      <c r="G6" s="883"/>
    </row>
    <row r="7" spans="1:10" ht="29.25" customHeight="1" x14ac:dyDescent="0.2">
      <c r="A7" s="272" t="s">
        <v>153</v>
      </c>
      <c r="B7" s="272"/>
      <c r="C7" s="273">
        <f>G46</f>
        <v>10536.090199999999</v>
      </c>
      <c r="D7" s="273"/>
      <c r="E7" s="272"/>
      <c r="F7" s="272"/>
      <c r="G7" s="272"/>
    </row>
    <row r="8" spans="1:10" ht="36.75" hidden="1" customHeight="1" x14ac:dyDescent="0.2">
      <c r="A8" s="274"/>
      <c r="B8" s="275"/>
      <c r="C8" s="276"/>
      <c r="D8" s="276"/>
      <c r="E8" s="277"/>
    </row>
    <row r="9" spans="1:10" ht="36.75" hidden="1" customHeight="1" x14ac:dyDescent="0.2">
      <c r="A9" s="274"/>
      <c r="B9" s="275"/>
      <c r="C9" s="276"/>
      <c r="D9" s="276"/>
      <c r="E9" s="277"/>
    </row>
    <row r="10" spans="1:10" ht="31.5" customHeight="1" x14ac:dyDescent="0.2"/>
    <row r="11" spans="1:10" s="279" customFormat="1" x14ac:dyDescent="0.2">
      <c r="A11" s="884" t="s">
        <v>154</v>
      </c>
      <c r="B11" s="884"/>
      <c r="C11" s="884"/>
      <c r="D11" s="884"/>
      <c r="E11" s="884"/>
      <c r="F11" s="884"/>
      <c r="G11" s="884"/>
    </row>
    <row r="12" spans="1:10" s="279" customFormat="1" x14ac:dyDescent="0.2">
      <c r="A12" s="280"/>
      <c r="B12" s="280"/>
      <c r="C12" s="280"/>
      <c r="D12" s="280"/>
      <c r="E12" s="280"/>
      <c r="F12" s="280"/>
      <c r="G12" s="280"/>
    </row>
    <row r="13" spans="1:10" s="279" customFormat="1" x14ac:dyDescent="0.2">
      <c r="A13" s="879" t="s">
        <v>155</v>
      </c>
      <c r="B13" s="880"/>
      <c r="C13" s="880"/>
      <c r="D13" s="880"/>
      <c r="E13" s="880"/>
      <c r="F13" s="880"/>
      <c r="G13" s="880"/>
      <c r="H13" s="880"/>
      <c r="I13" s="880"/>
      <c r="J13" s="880"/>
    </row>
    <row r="14" spans="1:10" s="279" customFormat="1" ht="15" customHeight="1" x14ac:dyDescent="0.2">
      <c r="A14" s="871"/>
      <c r="B14" s="871"/>
      <c r="C14" s="871"/>
      <c r="D14" s="871"/>
      <c r="E14" s="871"/>
      <c r="F14" s="871"/>
      <c r="G14" s="871"/>
      <c r="H14" s="281"/>
      <c r="I14" s="281"/>
      <c r="J14" s="281"/>
    </row>
    <row r="15" spans="1:10" s="279" customFormat="1" x14ac:dyDescent="0.2">
      <c r="C15" s="282" t="s">
        <v>156</v>
      </c>
      <c r="D15" s="283"/>
      <c r="E15" s="283"/>
      <c r="F15" s="283"/>
      <c r="G15" s="283"/>
    </row>
    <row r="16" spans="1:10" s="279" customFormat="1" x14ac:dyDescent="0.2">
      <c r="C16" s="282" t="s">
        <v>266</v>
      </c>
      <c r="D16" s="283"/>
      <c r="E16" s="283"/>
      <c r="F16" s="283"/>
      <c r="G16" s="283"/>
    </row>
    <row r="17" spans="1:43" s="279" customFormat="1" x14ac:dyDescent="0.2">
      <c r="C17" s="283"/>
      <c r="D17" s="283"/>
      <c r="E17" s="283"/>
      <c r="F17" s="283"/>
      <c r="G17" s="283"/>
    </row>
    <row r="18" spans="1:43" s="279" customFormat="1" ht="13.5" thickBot="1" x14ac:dyDescent="0.25">
      <c r="A18" s="279" t="s">
        <v>298</v>
      </c>
      <c r="C18" s="283"/>
      <c r="D18" s="283"/>
      <c r="E18" s="283"/>
      <c r="F18" s="283"/>
      <c r="G18" s="283"/>
    </row>
    <row r="19" spans="1:43" ht="42.75" thickBot="1" x14ac:dyDescent="0.25">
      <c r="A19" s="284" t="s">
        <v>62</v>
      </c>
      <c r="B19" s="284" t="s">
        <v>157</v>
      </c>
      <c r="C19" s="872" t="s">
        <v>158</v>
      </c>
      <c r="D19" s="873"/>
      <c r="E19" s="873"/>
      <c r="F19" s="873"/>
      <c r="G19" s="284" t="s">
        <v>159</v>
      </c>
    </row>
    <row r="20" spans="1:43" ht="21" x14ac:dyDescent="0.2">
      <c r="A20" s="285"/>
      <c r="B20" s="285"/>
      <c r="C20" s="286" t="s">
        <v>160</v>
      </c>
      <c r="D20" s="286" t="s">
        <v>161</v>
      </c>
      <c r="E20" s="286" t="s">
        <v>162</v>
      </c>
      <c r="F20" s="286" t="s">
        <v>163</v>
      </c>
      <c r="G20" s="287"/>
      <c r="H20" s="288"/>
      <c r="I20" s="289"/>
      <c r="J20" s="288"/>
      <c r="K20" s="288"/>
    </row>
    <row r="21" spans="1:43" ht="18.75" customHeight="1" x14ac:dyDescent="0.2">
      <c r="A21" s="290">
        <v>1</v>
      </c>
      <c r="B21" s="290">
        <v>3</v>
      </c>
      <c r="C21" s="291">
        <v>4</v>
      </c>
      <c r="D21" s="291">
        <v>5</v>
      </c>
      <c r="E21" s="291">
        <v>6</v>
      </c>
      <c r="F21" s="291">
        <v>7</v>
      </c>
      <c r="G21" s="290">
        <v>8</v>
      </c>
      <c r="H21" s="288"/>
      <c r="I21" s="289"/>
      <c r="J21" s="288"/>
      <c r="K21" s="288"/>
    </row>
    <row r="22" spans="1:43" ht="24" hidden="1" customHeight="1" x14ac:dyDescent="0.2">
      <c r="A22" s="874" t="s">
        <v>164</v>
      </c>
      <c r="B22" s="875"/>
      <c r="C22" s="292"/>
      <c r="D22" s="292"/>
      <c r="E22" s="292"/>
      <c r="F22" s="292"/>
      <c r="G22" s="292"/>
    </row>
    <row r="23" spans="1:43" ht="34.5" hidden="1" customHeight="1" x14ac:dyDescent="0.2">
      <c r="A23" s="293"/>
      <c r="B23" s="294" t="s">
        <v>149</v>
      </c>
      <c r="C23" s="295" t="s">
        <v>165</v>
      </c>
      <c r="D23" s="295" t="s">
        <v>166</v>
      </c>
      <c r="E23" s="296"/>
      <c r="F23" s="295">
        <f>F30</f>
        <v>1626</v>
      </c>
      <c r="G23" s="295">
        <f>E23*F23/100</f>
        <v>0</v>
      </c>
    </row>
    <row r="24" spans="1:43" ht="35.25" hidden="1" customHeight="1" x14ac:dyDescent="0.2">
      <c r="A24" s="293">
        <v>2</v>
      </c>
      <c r="B24" s="294" t="s">
        <v>167</v>
      </c>
      <c r="C24" s="295" t="s">
        <v>26</v>
      </c>
      <c r="D24" s="295"/>
      <c r="E24" s="295" t="s">
        <v>26</v>
      </c>
      <c r="F24" s="295" t="s">
        <v>26</v>
      </c>
      <c r="G24" s="297" t="e">
        <f>#REF!</f>
        <v>#REF!</v>
      </c>
    </row>
    <row r="25" spans="1:43" ht="34.5" hidden="1" customHeight="1" x14ac:dyDescent="0.2">
      <c r="A25" s="293"/>
      <c r="B25" s="298" t="s">
        <v>168</v>
      </c>
      <c r="C25" s="295" t="s">
        <v>26</v>
      </c>
      <c r="D25" s="295"/>
      <c r="E25" s="295" t="s">
        <v>26</v>
      </c>
      <c r="F25" s="295" t="s">
        <v>26</v>
      </c>
      <c r="G25" s="299" t="e">
        <f>#REF!</f>
        <v>#REF!</v>
      </c>
    </row>
    <row r="26" spans="1:43" ht="32.25" hidden="1" customHeight="1" x14ac:dyDescent="0.2">
      <c r="A26" s="293">
        <v>1</v>
      </c>
      <c r="B26" s="300" t="s">
        <v>169</v>
      </c>
      <c r="C26" s="301" t="s">
        <v>170</v>
      </c>
      <c r="D26" s="301" t="s">
        <v>171</v>
      </c>
      <c r="E26" s="295"/>
      <c r="F26" s="295">
        <v>68</v>
      </c>
      <c r="G26" s="295">
        <f>F26*E26</f>
        <v>0</v>
      </c>
    </row>
    <row r="27" spans="1:43" ht="22.5" hidden="1" customHeight="1" x14ac:dyDescent="0.2">
      <c r="A27" s="302"/>
      <c r="B27" s="300"/>
      <c r="C27" s="301"/>
      <c r="D27" s="301"/>
      <c r="E27" s="301"/>
      <c r="F27" s="301"/>
      <c r="G27" s="301"/>
    </row>
    <row r="28" spans="1:43" ht="29.25" hidden="1" customHeight="1" x14ac:dyDescent="0.2">
      <c r="A28" s="303"/>
      <c r="B28" s="304" t="s">
        <v>172</v>
      </c>
      <c r="C28" s="305"/>
      <c r="D28" s="305"/>
      <c r="E28" s="305"/>
      <c r="F28" s="305"/>
      <c r="G28" s="305">
        <f>G26</f>
        <v>0</v>
      </c>
      <c r="K28" s="288"/>
      <c r="L28" s="288"/>
      <c r="M28" s="288"/>
      <c r="N28" s="288"/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  <c r="AE28" s="288"/>
      <c r="AF28" s="288"/>
      <c r="AG28" s="288"/>
      <c r="AH28" s="288"/>
      <c r="AI28" s="288"/>
      <c r="AJ28" s="288"/>
      <c r="AK28" s="288"/>
      <c r="AL28" s="288"/>
      <c r="AM28" s="288"/>
      <c r="AN28" s="288"/>
      <c r="AO28" s="288"/>
      <c r="AP28" s="288"/>
      <c r="AQ28" s="288"/>
    </row>
    <row r="29" spans="1:43" ht="23.25" customHeight="1" x14ac:dyDescent="0.2">
      <c r="A29" s="876" t="s">
        <v>173</v>
      </c>
      <c r="B29" s="877"/>
      <c r="C29" s="306"/>
      <c r="D29" s="306"/>
      <c r="E29" s="306"/>
      <c r="F29" s="306"/>
      <c r="G29" s="306"/>
    </row>
    <row r="30" spans="1:43" ht="39" hidden="1" customHeight="1" x14ac:dyDescent="0.2">
      <c r="A30" s="307"/>
      <c r="B30" s="300" t="s">
        <v>174</v>
      </c>
      <c r="C30" s="301" t="s">
        <v>175</v>
      </c>
      <c r="D30" s="301" t="s">
        <v>176</v>
      </c>
      <c r="E30" s="308"/>
      <c r="F30" s="301">
        <v>1626</v>
      </c>
      <c r="G30" s="301">
        <f>E30*F30</f>
        <v>0</v>
      </c>
    </row>
    <row r="31" spans="1:43" ht="33" customHeight="1" x14ac:dyDescent="0.2">
      <c r="A31" s="307">
        <v>1</v>
      </c>
      <c r="B31" s="300" t="s">
        <v>190</v>
      </c>
      <c r="C31" s="301" t="s">
        <v>191</v>
      </c>
      <c r="D31" s="301" t="s">
        <v>171</v>
      </c>
      <c r="E31" s="309">
        <v>2.92</v>
      </c>
      <c r="F31" s="301">
        <v>2421</v>
      </c>
      <c r="G31" s="301">
        <f>E31*F31</f>
        <v>7069.32</v>
      </c>
    </row>
    <row r="32" spans="1:43" ht="36.75" hidden="1" customHeight="1" x14ac:dyDescent="0.2">
      <c r="A32" s="307"/>
      <c r="B32" s="300" t="s">
        <v>177</v>
      </c>
      <c r="C32" s="301" t="s">
        <v>178</v>
      </c>
      <c r="D32" s="301" t="s">
        <v>171</v>
      </c>
      <c r="E32" s="308"/>
      <c r="F32" s="301">
        <v>452.6</v>
      </c>
      <c r="G32" s="301">
        <f>E32*F32</f>
        <v>0</v>
      </c>
    </row>
    <row r="33" spans="1:13" ht="36.75" customHeight="1" x14ac:dyDescent="0.2">
      <c r="A33" s="307">
        <v>2</v>
      </c>
      <c r="B33" s="300" t="s">
        <v>190</v>
      </c>
      <c r="C33" s="301" t="s">
        <v>265</v>
      </c>
      <c r="D33" s="301" t="s">
        <v>171</v>
      </c>
      <c r="E33" s="406">
        <v>0.05</v>
      </c>
      <c r="F33" s="301">
        <v>2086</v>
      </c>
      <c r="G33" s="301">
        <f>E33*F33</f>
        <v>104.30000000000001</v>
      </c>
    </row>
    <row r="34" spans="1:13" ht="33" customHeight="1" x14ac:dyDescent="0.2">
      <c r="A34" s="307">
        <v>3</v>
      </c>
      <c r="B34" s="300" t="s">
        <v>359</v>
      </c>
      <c r="C34" s="301" t="s">
        <v>360</v>
      </c>
      <c r="D34" s="301" t="s">
        <v>171</v>
      </c>
      <c r="E34" s="406">
        <v>2.97</v>
      </c>
      <c r="F34" s="301">
        <v>591</v>
      </c>
      <c r="G34" s="301">
        <f>E34*F34</f>
        <v>1755.2700000000002</v>
      </c>
    </row>
    <row r="35" spans="1:13" ht="25.5" customHeight="1" x14ac:dyDescent="0.2">
      <c r="A35" s="310"/>
      <c r="B35" s="311" t="s">
        <v>179</v>
      </c>
      <c r="C35" s="305">
        <f>SUM(C30,C32)</f>
        <v>0</v>
      </c>
      <c r="D35" s="305"/>
      <c r="E35" s="312"/>
      <c r="F35" s="305"/>
      <c r="G35" s="305">
        <f>SUM(G30:G34)</f>
        <v>8928.89</v>
      </c>
      <c r="K35" s="313"/>
    </row>
    <row r="36" spans="1:13" ht="25.5" customHeight="1" x14ac:dyDescent="0.2">
      <c r="A36" s="314"/>
      <c r="B36" s="311" t="s">
        <v>180</v>
      </c>
      <c r="C36" s="315">
        <f>SUM(C28,C35)</f>
        <v>0</v>
      </c>
      <c r="D36" s="315"/>
      <c r="E36" s="315"/>
      <c r="F36" s="315">
        <f>SUM(F28,F35)</f>
        <v>0</v>
      </c>
      <c r="G36" s="305">
        <f>G35+G28</f>
        <v>8928.89</v>
      </c>
      <c r="K36" s="316"/>
    </row>
    <row r="37" spans="1:13" ht="25.5" customHeight="1" x14ac:dyDescent="0.2">
      <c r="A37" s="878"/>
      <c r="B37" s="878"/>
      <c r="C37" s="317"/>
      <c r="D37" s="317"/>
      <c r="E37" s="317"/>
      <c r="F37" s="317"/>
      <c r="G37" s="317"/>
    </row>
    <row r="38" spans="1:13" ht="34.5" hidden="1" customHeight="1" x14ac:dyDescent="0.2">
      <c r="A38" s="293"/>
      <c r="B38" s="294"/>
      <c r="C38" s="295"/>
      <c r="D38" s="295"/>
      <c r="E38" s="296"/>
      <c r="F38" s="295"/>
      <c r="G38" s="295"/>
    </row>
    <row r="39" spans="1:13" ht="30.75" hidden="1" customHeight="1" x14ac:dyDescent="0.25">
      <c r="A39" s="868" t="s">
        <v>184</v>
      </c>
      <c r="B39" s="869"/>
      <c r="C39" s="869"/>
      <c r="D39" s="322"/>
      <c r="E39" s="322"/>
      <c r="F39" s="322"/>
      <c r="G39" s="323"/>
      <c r="K39" s="324"/>
    </row>
    <row r="40" spans="1:13" ht="39" hidden="1" customHeight="1" x14ac:dyDescent="0.2">
      <c r="A40" s="319"/>
      <c r="B40" s="318" t="s">
        <v>181</v>
      </c>
      <c r="C40" s="325" t="s">
        <v>185</v>
      </c>
      <c r="D40" s="297"/>
      <c r="E40" s="295">
        <v>1</v>
      </c>
      <c r="F40" s="295" t="e">
        <f>#REF!</f>
        <v>#REF!</v>
      </c>
      <c r="G40" s="295" t="e">
        <f>E40*F40</f>
        <v>#REF!</v>
      </c>
      <c r="K40" s="324"/>
    </row>
    <row r="41" spans="1:13" ht="39" hidden="1" customHeight="1" x14ac:dyDescent="0.2">
      <c r="A41" s="319"/>
      <c r="B41" s="318" t="s">
        <v>186</v>
      </c>
      <c r="C41" s="325" t="s">
        <v>187</v>
      </c>
      <c r="D41" s="297"/>
      <c r="E41" s="295">
        <v>4.28</v>
      </c>
      <c r="F41" s="295" t="e">
        <f>#REF!</f>
        <v>#REF!</v>
      </c>
      <c r="G41" s="295" t="e">
        <f>F41*E41</f>
        <v>#REF!</v>
      </c>
      <c r="K41" s="324"/>
    </row>
    <row r="42" spans="1:13" ht="39" hidden="1" customHeight="1" x14ac:dyDescent="0.2">
      <c r="A42" s="319"/>
      <c r="B42" s="318" t="s">
        <v>182</v>
      </c>
      <c r="C42" s="325" t="s">
        <v>185</v>
      </c>
      <c r="D42" s="297"/>
      <c r="E42" s="295">
        <v>1</v>
      </c>
      <c r="F42" s="295" t="e">
        <f>#REF!</f>
        <v>#REF!</v>
      </c>
      <c r="G42" s="295" t="e">
        <f>F42*E42</f>
        <v>#REF!</v>
      </c>
      <c r="K42" s="324"/>
    </row>
    <row r="43" spans="1:13" ht="39" hidden="1" customHeight="1" x14ac:dyDescent="0.2">
      <c r="A43" s="319"/>
      <c r="B43" s="318" t="s">
        <v>183</v>
      </c>
      <c r="C43" s="325" t="s">
        <v>185</v>
      </c>
      <c r="D43" s="297"/>
      <c r="E43" s="295">
        <v>1</v>
      </c>
      <c r="F43" s="295" t="e">
        <f>#REF!</f>
        <v>#REF!</v>
      </c>
      <c r="G43" s="295" t="e">
        <f>E43*F43</f>
        <v>#REF!</v>
      </c>
      <c r="K43" s="324"/>
      <c r="M43" s="269">
        <f>1.1*1.205</f>
        <v>1.3255000000000001</v>
      </c>
    </row>
    <row r="44" spans="1:13" ht="41.25" hidden="1" customHeight="1" x14ac:dyDescent="0.2">
      <c r="A44" s="319"/>
      <c r="B44" s="300" t="s">
        <v>37</v>
      </c>
      <c r="C44" s="325" t="s">
        <v>185</v>
      </c>
      <c r="D44" s="299"/>
      <c r="E44" s="295">
        <v>1</v>
      </c>
      <c r="F44" s="295" t="e">
        <f>#REF!</f>
        <v>#REF!</v>
      </c>
      <c r="G44" s="295" t="e">
        <f>E44*F44</f>
        <v>#REF!</v>
      </c>
      <c r="K44" s="324"/>
    </row>
    <row r="45" spans="1:13" ht="15.75" x14ac:dyDescent="0.25">
      <c r="A45" s="320"/>
      <c r="B45" s="327" t="s">
        <v>188</v>
      </c>
      <c r="C45" s="297"/>
      <c r="D45" s="297"/>
      <c r="E45" s="297"/>
      <c r="F45" s="297"/>
      <c r="G45" s="295">
        <f>G36*18%</f>
        <v>1607.2001999999998</v>
      </c>
      <c r="K45" s="326"/>
    </row>
    <row r="46" spans="1:13" ht="15.75" x14ac:dyDescent="0.25">
      <c r="A46" s="321"/>
      <c r="B46" s="328" t="s">
        <v>51</v>
      </c>
      <c r="C46" s="305"/>
      <c r="D46" s="305"/>
      <c r="E46" s="305"/>
      <c r="F46" s="305"/>
      <c r="G46" s="305">
        <f>G36+G45</f>
        <v>10536.090199999999</v>
      </c>
      <c r="K46" s="326"/>
    </row>
    <row r="47" spans="1:13" hidden="1" x14ac:dyDescent="0.2">
      <c r="B47" s="329"/>
      <c r="K47" s="313"/>
    </row>
    <row r="48" spans="1:13" hidden="1" x14ac:dyDescent="0.2">
      <c r="B48" s="329"/>
      <c r="K48" s="313"/>
    </row>
    <row r="49" spans="1:43" hidden="1" x14ac:dyDescent="0.2">
      <c r="B49" s="329"/>
      <c r="K49" s="313"/>
    </row>
    <row r="50" spans="1:43" x14ac:dyDescent="0.2">
      <c r="B50" s="329"/>
      <c r="K50" s="313"/>
    </row>
    <row r="51" spans="1:43" s="330" customFormat="1" ht="15.75" x14ac:dyDescent="0.25">
      <c r="B51" s="331" t="s">
        <v>150</v>
      </c>
      <c r="C51" s="870" t="s">
        <v>189</v>
      </c>
      <c r="D51" s="870"/>
      <c r="E51" s="870"/>
      <c r="F51" s="332"/>
      <c r="G51" s="332"/>
      <c r="H51" s="333"/>
      <c r="I51" s="333"/>
      <c r="J51" s="333"/>
      <c r="K51" s="333"/>
      <c r="L51" s="333"/>
      <c r="M51" s="333"/>
      <c r="N51" s="333"/>
      <c r="O51" s="333"/>
      <c r="P51" s="333"/>
      <c r="Q51" s="333"/>
      <c r="R51" s="333"/>
      <c r="S51" s="333"/>
      <c r="T51" s="333"/>
      <c r="U51" s="333"/>
      <c r="V51" s="333"/>
      <c r="W51" s="333"/>
      <c r="X51" s="333"/>
      <c r="Y51" s="333"/>
      <c r="Z51" s="333"/>
      <c r="AA51" s="333"/>
      <c r="AB51" s="333"/>
      <c r="AC51" s="333"/>
      <c r="AD51" s="333"/>
      <c r="AE51" s="333"/>
    </row>
    <row r="52" spans="1:43" s="330" customFormat="1" ht="15.75" x14ac:dyDescent="0.25">
      <c r="B52" s="331"/>
      <c r="C52" s="332"/>
      <c r="D52" s="332"/>
      <c r="E52" s="332"/>
      <c r="F52" s="332"/>
      <c r="G52" s="332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</row>
    <row r="53" spans="1:43" x14ac:dyDescent="0.2">
      <c r="B53" s="329"/>
    </row>
    <row r="54" spans="1:43" x14ac:dyDescent="0.2">
      <c r="B54" s="329"/>
    </row>
    <row r="55" spans="1:43" x14ac:dyDescent="0.2">
      <c r="B55" s="329"/>
    </row>
    <row r="56" spans="1:43" x14ac:dyDescent="0.2">
      <c r="B56" s="329"/>
    </row>
    <row r="57" spans="1:43" x14ac:dyDescent="0.2">
      <c r="B57" s="329"/>
    </row>
    <row r="58" spans="1:43" x14ac:dyDescent="0.2">
      <c r="B58" s="329"/>
    </row>
    <row r="59" spans="1:43" x14ac:dyDescent="0.2">
      <c r="B59" s="329"/>
    </row>
    <row r="60" spans="1:43" s="278" customFormat="1" x14ac:dyDescent="0.2">
      <c r="A60" s="269"/>
      <c r="B60" s="329"/>
      <c r="H60" s="269"/>
      <c r="I60" s="269"/>
      <c r="J60" s="269"/>
      <c r="K60" s="269"/>
      <c r="L60" s="269"/>
      <c r="M60" s="269"/>
      <c r="N60" s="269"/>
      <c r="O60" s="269"/>
      <c r="P60" s="269"/>
      <c r="Q60" s="269"/>
      <c r="R60" s="269"/>
      <c r="S60" s="269"/>
      <c r="T60" s="269"/>
      <c r="U60" s="269"/>
      <c r="V60" s="269"/>
      <c r="W60" s="269"/>
      <c r="X60" s="269"/>
      <c r="Y60" s="269"/>
      <c r="Z60" s="269"/>
      <c r="AA60" s="269"/>
      <c r="AB60" s="269"/>
      <c r="AC60" s="269"/>
      <c r="AD60" s="269"/>
      <c r="AE60" s="269"/>
      <c r="AF60" s="269"/>
      <c r="AG60" s="269"/>
      <c r="AH60" s="269"/>
      <c r="AI60" s="269"/>
      <c r="AJ60" s="269"/>
      <c r="AK60" s="269"/>
      <c r="AL60" s="269"/>
      <c r="AM60" s="269"/>
      <c r="AN60" s="269"/>
      <c r="AO60" s="269"/>
      <c r="AP60" s="269"/>
      <c r="AQ60" s="269"/>
    </row>
    <row r="61" spans="1:43" s="278" customFormat="1" x14ac:dyDescent="0.2">
      <c r="A61" s="269"/>
      <c r="B61" s="329"/>
      <c r="H61" s="269"/>
      <c r="I61" s="269"/>
      <c r="J61" s="269"/>
      <c r="K61" s="269"/>
      <c r="L61" s="269"/>
      <c r="M61" s="269"/>
      <c r="N61" s="269"/>
      <c r="O61" s="269"/>
      <c r="P61" s="269"/>
      <c r="Q61" s="269"/>
      <c r="R61" s="269"/>
      <c r="S61" s="269"/>
      <c r="T61" s="269"/>
      <c r="U61" s="269"/>
      <c r="V61" s="269"/>
      <c r="W61" s="269"/>
      <c r="X61" s="269"/>
      <c r="Y61" s="269"/>
      <c r="Z61" s="269"/>
      <c r="AA61" s="269"/>
      <c r="AB61" s="269"/>
      <c r="AC61" s="269"/>
      <c r="AD61" s="269"/>
      <c r="AE61" s="269"/>
      <c r="AF61" s="269"/>
      <c r="AG61" s="269"/>
      <c r="AH61" s="269"/>
      <c r="AI61" s="269"/>
      <c r="AJ61" s="269"/>
      <c r="AK61" s="269"/>
      <c r="AL61" s="269"/>
      <c r="AM61" s="269"/>
      <c r="AN61" s="269"/>
      <c r="AO61" s="269"/>
      <c r="AP61" s="269"/>
      <c r="AQ61" s="269"/>
    </row>
    <row r="62" spans="1:43" s="278" customFormat="1" x14ac:dyDescent="0.2">
      <c r="A62" s="269"/>
      <c r="B62" s="329"/>
      <c r="H62" s="269"/>
      <c r="I62" s="269"/>
      <c r="J62" s="269"/>
      <c r="K62" s="269"/>
      <c r="L62" s="269"/>
      <c r="M62" s="269"/>
      <c r="N62" s="269"/>
      <c r="O62" s="269"/>
      <c r="P62" s="269"/>
      <c r="Q62" s="269"/>
      <c r="R62" s="269"/>
      <c r="S62" s="269"/>
      <c r="T62" s="269"/>
      <c r="U62" s="269"/>
      <c r="V62" s="269"/>
      <c r="W62" s="269"/>
      <c r="X62" s="269"/>
      <c r="Y62" s="269"/>
      <c r="Z62" s="269"/>
      <c r="AA62" s="269"/>
      <c r="AB62" s="269"/>
      <c r="AC62" s="269"/>
      <c r="AD62" s="269"/>
      <c r="AE62" s="269"/>
      <c r="AF62" s="269"/>
      <c r="AG62" s="269"/>
      <c r="AH62" s="269"/>
      <c r="AI62" s="269"/>
      <c r="AJ62" s="269"/>
      <c r="AK62" s="269"/>
      <c r="AL62" s="269"/>
      <c r="AM62" s="269"/>
      <c r="AN62" s="269"/>
      <c r="AO62" s="269"/>
      <c r="AP62" s="269"/>
      <c r="AQ62" s="269"/>
    </row>
    <row r="63" spans="1:43" s="278" customFormat="1" x14ac:dyDescent="0.2">
      <c r="A63" s="269"/>
      <c r="B63" s="329"/>
      <c r="H63" s="269"/>
      <c r="I63" s="269"/>
      <c r="J63" s="269"/>
      <c r="K63" s="269"/>
      <c r="L63" s="269"/>
      <c r="M63" s="269"/>
      <c r="N63" s="269"/>
      <c r="O63" s="269"/>
      <c r="P63" s="269"/>
      <c r="Q63" s="269"/>
      <c r="R63" s="269"/>
      <c r="S63" s="269"/>
      <c r="T63" s="269"/>
      <c r="U63" s="269"/>
      <c r="V63" s="269"/>
      <c r="W63" s="269"/>
      <c r="X63" s="269"/>
      <c r="Y63" s="269"/>
      <c r="Z63" s="269"/>
      <c r="AA63" s="269"/>
      <c r="AB63" s="269"/>
      <c r="AC63" s="269"/>
      <c r="AD63" s="269"/>
      <c r="AE63" s="269"/>
      <c r="AF63" s="269"/>
      <c r="AG63" s="269"/>
      <c r="AH63" s="269"/>
      <c r="AI63" s="269"/>
      <c r="AJ63" s="269"/>
      <c r="AK63" s="269"/>
      <c r="AL63" s="269"/>
      <c r="AM63" s="269"/>
      <c r="AN63" s="269"/>
      <c r="AO63" s="269"/>
      <c r="AP63" s="269"/>
      <c r="AQ63" s="269"/>
    </row>
    <row r="64" spans="1:43" s="278" customFormat="1" x14ac:dyDescent="0.2">
      <c r="A64" s="269"/>
      <c r="B64" s="329"/>
      <c r="H64" s="269"/>
      <c r="I64" s="269"/>
      <c r="J64" s="269"/>
      <c r="K64" s="269"/>
      <c r="L64" s="269"/>
      <c r="M64" s="269"/>
      <c r="N64" s="269"/>
      <c r="O64" s="269"/>
      <c r="P64" s="269"/>
      <c r="Q64" s="269"/>
      <c r="R64" s="269"/>
      <c r="S64" s="269"/>
      <c r="T64" s="269"/>
      <c r="U64" s="269"/>
      <c r="V64" s="269"/>
      <c r="W64" s="269"/>
      <c r="X64" s="269"/>
      <c r="Y64" s="269"/>
      <c r="Z64" s="269"/>
      <c r="AA64" s="269"/>
      <c r="AB64" s="269"/>
      <c r="AC64" s="269"/>
      <c r="AD64" s="269"/>
      <c r="AE64" s="269"/>
      <c r="AF64" s="269"/>
      <c r="AG64" s="269"/>
      <c r="AH64" s="269"/>
      <c r="AI64" s="269"/>
      <c r="AJ64" s="269"/>
      <c r="AK64" s="269"/>
      <c r="AL64" s="269"/>
      <c r="AM64" s="269"/>
      <c r="AN64" s="269"/>
      <c r="AO64" s="269"/>
      <c r="AP64" s="269"/>
      <c r="AQ64" s="269"/>
    </row>
    <row r="65" spans="1:43" s="278" customFormat="1" x14ac:dyDescent="0.2">
      <c r="A65" s="269"/>
      <c r="B65" s="329"/>
      <c r="H65" s="269"/>
      <c r="I65" s="269"/>
      <c r="J65" s="269"/>
      <c r="K65" s="269"/>
      <c r="L65" s="269"/>
      <c r="M65" s="269"/>
      <c r="N65" s="269"/>
      <c r="O65" s="269"/>
      <c r="P65" s="269"/>
      <c r="Q65" s="269"/>
      <c r="R65" s="269"/>
      <c r="S65" s="269"/>
      <c r="T65" s="269"/>
      <c r="U65" s="269"/>
      <c r="V65" s="269"/>
      <c r="W65" s="269"/>
      <c r="X65" s="269"/>
      <c r="Y65" s="269"/>
      <c r="Z65" s="269"/>
      <c r="AA65" s="269"/>
      <c r="AB65" s="269"/>
      <c r="AC65" s="269"/>
      <c r="AD65" s="269"/>
      <c r="AE65" s="269"/>
      <c r="AF65" s="269"/>
      <c r="AG65" s="269"/>
      <c r="AH65" s="269"/>
      <c r="AI65" s="269"/>
      <c r="AJ65" s="269"/>
      <c r="AK65" s="269"/>
      <c r="AL65" s="269"/>
      <c r="AM65" s="269"/>
      <c r="AN65" s="269"/>
      <c r="AO65" s="269"/>
      <c r="AP65" s="269"/>
      <c r="AQ65" s="269"/>
    </row>
    <row r="66" spans="1:43" s="278" customFormat="1" x14ac:dyDescent="0.2">
      <c r="A66" s="269"/>
      <c r="B66" s="329"/>
      <c r="H66" s="269"/>
      <c r="I66" s="269"/>
      <c r="J66" s="269"/>
      <c r="K66" s="269"/>
      <c r="L66" s="269"/>
      <c r="M66" s="269"/>
      <c r="N66" s="269"/>
      <c r="O66" s="269"/>
      <c r="P66" s="269"/>
      <c r="Q66" s="269"/>
      <c r="R66" s="269"/>
      <c r="S66" s="269"/>
      <c r="T66" s="269"/>
      <c r="U66" s="269"/>
      <c r="V66" s="269"/>
      <c r="W66" s="269"/>
      <c r="X66" s="269"/>
      <c r="Y66" s="269"/>
      <c r="Z66" s="269"/>
      <c r="AA66" s="269"/>
      <c r="AB66" s="269"/>
      <c r="AC66" s="269"/>
      <c r="AD66" s="269"/>
      <c r="AE66" s="269"/>
      <c r="AF66" s="269"/>
      <c r="AG66" s="269"/>
      <c r="AH66" s="269"/>
      <c r="AI66" s="269"/>
      <c r="AJ66" s="269"/>
      <c r="AK66" s="269"/>
      <c r="AL66" s="269"/>
      <c r="AM66" s="269"/>
      <c r="AN66" s="269"/>
      <c r="AO66" s="269"/>
      <c r="AP66" s="269"/>
      <c r="AQ66" s="269"/>
    </row>
    <row r="67" spans="1:43" s="278" customFormat="1" x14ac:dyDescent="0.2">
      <c r="A67" s="269"/>
      <c r="B67" s="329"/>
      <c r="H67" s="269"/>
      <c r="I67" s="269"/>
      <c r="J67" s="269"/>
      <c r="K67" s="269"/>
      <c r="L67" s="269"/>
      <c r="M67" s="269"/>
      <c r="N67" s="269"/>
      <c r="O67" s="269"/>
      <c r="P67" s="269"/>
      <c r="Q67" s="269"/>
      <c r="R67" s="269"/>
      <c r="S67" s="269"/>
      <c r="T67" s="269"/>
      <c r="U67" s="269"/>
      <c r="V67" s="269"/>
      <c r="W67" s="269"/>
      <c r="X67" s="269"/>
      <c r="Y67" s="269"/>
      <c r="Z67" s="269"/>
      <c r="AA67" s="269"/>
      <c r="AB67" s="269"/>
      <c r="AC67" s="269"/>
      <c r="AD67" s="269"/>
      <c r="AE67" s="269"/>
      <c r="AF67" s="269"/>
      <c r="AG67" s="269"/>
      <c r="AH67" s="269"/>
      <c r="AI67" s="269"/>
      <c r="AJ67" s="269"/>
      <c r="AK67" s="269"/>
      <c r="AL67" s="269"/>
      <c r="AM67" s="269"/>
      <c r="AN67" s="269"/>
      <c r="AO67" s="269"/>
      <c r="AP67" s="269"/>
      <c r="AQ67" s="269"/>
    </row>
    <row r="68" spans="1:43" s="278" customFormat="1" x14ac:dyDescent="0.2">
      <c r="A68" s="269"/>
      <c r="B68" s="329"/>
      <c r="H68" s="269"/>
      <c r="I68" s="269"/>
      <c r="J68" s="269"/>
      <c r="K68" s="269"/>
      <c r="L68" s="269"/>
      <c r="M68" s="269"/>
      <c r="N68" s="269"/>
      <c r="O68" s="269"/>
      <c r="P68" s="269"/>
      <c r="Q68" s="269"/>
      <c r="R68" s="269"/>
      <c r="S68" s="269"/>
      <c r="T68" s="269"/>
      <c r="U68" s="269"/>
      <c r="V68" s="269"/>
      <c r="W68" s="269"/>
      <c r="X68" s="269"/>
      <c r="Y68" s="269"/>
      <c r="Z68" s="269"/>
      <c r="AA68" s="269"/>
      <c r="AB68" s="269"/>
      <c r="AC68" s="269"/>
      <c r="AD68" s="269"/>
      <c r="AE68" s="269"/>
      <c r="AF68" s="269"/>
      <c r="AG68" s="269"/>
      <c r="AH68" s="269"/>
      <c r="AI68" s="269"/>
      <c r="AJ68" s="269"/>
      <c r="AK68" s="269"/>
      <c r="AL68" s="269"/>
      <c r="AM68" s="269"/>
      <c r="AN68" s="269"/>
      <c r="AO68" s="269"/>
      <c r="AP68" s="269"/>
      <c r="AQ68" s="269"/>
    </row>
    <row r="69" spans="1:43" s="278" customFormat="1" x14ac:dyDescent="0.2">
      <c r="A69" s="269"/>
      <c r="B69" s="329"/>
      <c r="H69" s="269"/>
      <c r="I69" s="269"/>
      <c r="J69" s="269"/>
      <c r="K69" s="269"/>
      <c r="L69" s="269"/>
      <c r="M69" s="269"/>
      <c r="N69" s="269"/>
      <c r="O69" s="269"/>
      <c r="P69" s="269"/>
      <c r="Q69" s="269"/>
      <c r="R69" s="269"/>
      <c r="S69" s="269"/>
      <c r="T69" s="269"/>
      <c r="U69" s="269"/>
      <c r="V69" s="269"/>
      <c r="W69" s="269"/>
      <c r="X69" s="269"/>
      <c r="Y69" s="269"/>
      <c r="Z69" s="269"/>
      <c r="AA69" s="269"/>
      <c r="AB69" s="269"/>
      <c r="AC69" s="269"/>
      <c r="AD69" s="269"/>
      <c r="AE69" s="269"/>
      <c r="AF69" s="269"/>
      <c r="AG69" s="269"/>
      <c r="AH69" s="269"/>
      <c r="AI69" s="269"/>
      <c r="AJ69" s="269"/>
      <c r="AK69" s="269"/>
      <c r="AL69" s="269"/>
      <c r="AM69" s="269"/>
      <c r="AN69" s="269"/>
      <c r="AO69" s="269"/>
      <c r="AP69" s="269"/>
      <c r="AQ69" s="269"/>
    </row>
    <row r="70" spans="1:43" s="278" customFormat="1" x14ac:dyDescent="0.2">
      <c r="A70" s="269"/>
      <c r="B70" s="329"/>
      <c r="H70" s="269"/>
      <c r="I70" s="269"/>
      <c r="J70" s="269"/>
      <c r="K70" s="269"/>
      <c r="L70" s="269"/>
      <c r="M70" s="269"/>
      <c r="N70" s="269"/>
      <c r="O70" s="269"/>
      <c r="P70" s="269"/>
      <c r="Q70" s="269"/>
      <c r="R70" s="269"/>
      <c r="S70" s="269"/>
      <c r="T70" s="269"/>
      <c r="U70" s="269"/>
      <c r="V70" s="269"/>
      <c r="W70" s="269"/>
      <c r="X70" s="269"/>
      <c r="Y70" s="269"/>
      <c r="Z70" s="269"/>
      <c r="AA70" s="269"/>
      <c r="AB70" s="269"/>
      <c r="AC70" s="269"/>
      <c r="AD70" s="269"/>
      <c r="AE70" s="269"/>
      <c r="AF70" s="269"/>
      <c r="AG70" s="269"/>
      <c r="AH70" s="269"/>
      <c r="AI70" s="269"/>
      <c r="AJ70" s="269"/>
      <c r="AK70" s="269"/>
      <c r="AL70" s="269"/>
      <c r="AM70" s="269"/>
      <c r="AN70" s="269"/>
      <c r="AO70" s="269"/>
      <c r="AP70" s="269"/>
      <c r="AQ70" s="269"/>
    </row>
    <row r="71" spans="1:43" s="278" customFormat="1" x14ac:dyDescent="0.2">
      <c r="A71" s="269"/>
      <c r="B71" s="329"/>
      <c r="H71" s="269"/>
      <c r="I71" s="269"/>
      <c r="J71" s="269"/>
      <c r="K71" s="269"/>
      <c r="L71" s="269"/>
      <c r="M71" s="269"/>
      <c r="N71" s="269"/>
      <c r="O71" s="269"/>
      <c r="P71" s="269"/>
      <c r="Q71" s="269"/>
      <c r="R71" s="269"/>
      <c r="S71" s="269"/>
      <c r="T71" s="269"/>
      <c r="U71" s="269"/>
      <c r="V71" s="269"/>
      <c r="W71" s="269"/>
      <c r="X71" s="269"/>
      <c r="Y71" s="269"/>
      <c r="Z71" s="269"/>
      <c r="AA71" s="269"/>
      <c r="AB71" s="269"/>
      <c r="AC71" s="269"/>
      <c r="AD71" s="269"/>
      <c r="AE71" s="269"/>
      <c r="AF71" s="269"/>
      <c r="AG71" s="269"/>
      <c r="AH71" s="269"/>
      <c r="AI71" s="269"/>
      <c r="AJ71" s="269"/>
      <c r="AK71" s="269"/>
      <c r="AL71" s="269"/>
      <c r="AM71" s="269"/>
      <c r="AN71" s="269"/>
      <c r="AO71" s="269"/>
      <c r="AP71" s="269"/>
      <c r="AQ71" s="269"/>
    </row>
    <row r="72" spans="1:43" s="278" customFormat="1" x14ac:dyDescent="0.2">
      <c r="A72" s="269"/>
      <c r="B72" s="329"/>
      <c r="H72" s="269"/>
      <c r="I72" s="269"/>
      <c r="J72" s="269"/>
      <c r="K72" s="269"/>
      <c r="L72" s="269"/>
      <c r="M72" s="269"/>
      <c r="N72" s="269"/>
      <c r="O72" s="269"/>
      <c r="P72" s="269"/>
      <c r="Q72" s="269"/>
      <c r="R72" s="269"/>
      <c r="S72" s="269"/>
      <c r="T72" s="269"/>
      <c r="U72" s="269"/>
      <c r="V72" s="269"/>
      <c r="W72" s="269"/>
      <c r="X72" s="269"/>
      <c r="Y72" s="269"/>
      <c r="Z72" s="269"/>
      <c r="AA72" s="269"/>
      <c r="AB72" s="269"/>
      <c r="AC72" s="269"/>
      <c r="AD72" s="269"/>
      <c r="AE72" s="269"/>
      <c r="AF72" s="269"/>
      <c r="AG72" s="269"/>
      <c r="AH72" s="269"/>
      <c r="AI72" s="269"/>
      <c r="AJ72" s="269"/>
      <c r="AK72" s="269"/>
      <c r="AL72" s="269"/>
      <c r="AM72" s="269"/>
      <c r="AN72" s="269"/>
      <c r="AO72" s="269"/>
      <c r="AP72" s="269"/>
      <c r="AQ72" s="269"/>
    </row>
    <row r="73" spans="1:43" s="278" customFormat="1" x14ac:dyDescent="0.2">
      <c r="A73" s="269"/>
      <c r="B73" s="329"/>
      <c r="H73" s="269"/>
      <c r="I73" s="269"/>
      <c r="J73" s="269"/>
      <c r="K73" s="269"/>
      <c r="L73" s="269"/>
      <c r="M73" s="269"/>
      <c r="N73" s="269"/>
      <c r="O73" s="269"/>
      <c r="P73" s="269"/>
      <c r="Q73" s="269"/>
      <c r="R73" s="269"/>
      <c r="S73" s="269"/>
      <c r="T73" s="269"/>
      <c r="U73" s="269"/>
      <c r="V73" s="269"/>
      <c r="W73" s="269"/>
      <c r="X73" s="269"/>
      <c r="Y73" s="269"/>
      <c r="Z73" s="269"/>
      <c r="AA73" s="269"/>
      <c r="AB73" s="269"/>
      <c r="AC73" s="269"/>
      <c r="AD73" s="269"/>
      <c r="AE73" s="269"/>
      <c r="AF73" s="269"/>
      <c r="AG73" s="269"/>
      <c r="AH73" s="269"/>
      <c r="AI73" s="269"/>
      <c r="AJ73" s="269"/>
      <c r="AK73" s="269"/>
      <c r="AL73" s="269"/>
      <c r="AM73" s="269"/>
      <c r="AN73" s="269"/>
      <c r="AO73" s="269"/>
      <c r="AP73" s="269"/>
      <c r="AQ73" s="269"/>
    </row>
    <row r="74" spans="1:43" s="278" customFormat="1" x14ac:dyDescent="0.2">
      <c r="A74" s="269"/>
      <c r="B74" s="329"/>
      <c r="H74" s="269"/>
      <c r="I74" s="269"/>
      <c r="J74" s="269"/>
      <c r="K74" s="269"/>
      <c r="L74" s="269"/>
      <c r="M74" s="269"/>
      <c r="N74" s="269"/>
      <c r="O74" s="269"/>
      <c r="P74" s="269"/>
      <c r="Q74" s="269"/>
      <c r="R74" s="269"/>
      <c r="S74" s="269"/>
      <c r="T74" s="269"/>
      <c r="U74" s="269"/>
      <c r="V74" s="269"/>
      <c r="W74" s="269"/>
      <c r="X74" s="269"/>
      <c r="Y74" s="269"/>
      <c r="Z74" s="269"/>
      <c r="AA74" s="269"/>
      <c r="AB74" s="269"/>
      <c r="AC74" s="269"/>
      <c r="AD74" s="269"/>
      <c r="AE74" s="269"/>
      <c r="AF74" s="269"/>
      <c r="AG74" s="269"/>
      <c r="AH74" s="269"/>
      <c r="AI74" s="269"/>
      <c r="AJ74" s="269"/>
      <c r="AK74" s="269"/>
      <c r="AL74" s="269"/>
      <c r="AM74" s="269"/>
      <c r="AN74" s="269"/>
      <c r="AO74" s="269"/>
      <c r="AP74" s="269"/>
      <c r="AQ74" s="269"/>
    </row>
    <row r="75" spans="1:43" s="278" customFormat="1" x14ac:dyDescent="0.2">
      <c r="A75" s="269"/>
      <c r="B75" s="329"/>
      <c r="H75" s="269"/>
      <c r="I75" s="269"/>
      <c r="J75" s="269"/>
      <c r="K75" s="269"/>
      <c r="L75" s="269"/>
      <c r="M75" s="269"/>
      <c r="N75" s="269"/>
      <c r="O75" s="269"/>
      <c r="P75" s="269"/>
      <c r="Q75" s="269"/>
      <c r="R75" s="269"/>
      <c r="S75" s="269"/>
      <c r="T75" s="269"/>
      <c r="U75" s="269"/>
      <c r="V75" s="269"/>
      <c r="W75" s="269"/>
      <c r="X75" s="269"/>
      <c r="Y75" s="269"/>
      <c r="Z75" s="269"/>
      <c r="AA75" s="269"/>
      <c r="AB75" s="269"/>
      <c r="AC75" s="269"/>
      <c r="AD75" s="269"/>
      <c r="AE75" s="269"/>
      <c r="AF75" s="269"/>
      <c r="AG75" s="269"/>
      <c r="AH75" s="269"/>
      <c r="AI75" s="269"/>
      <c r="AJ75" s="269"/>
      <c r="AK75" s="269"/>
      <c r="AL75" s="269"/>
      <c r="AM75" s="269"/>
      <c r="AN75" s="269"/>
      <c r="AO75" s="269"/>
      <c r="AP75" s="269"/>
      <c r="AQ75" s="269"/>
    </row>
    <row r="76" spans="1:43" s="278" customFormat="1" x14ac:dyDescent="0.2">
      <c r="A76" s="269"/>
      <c r="B76" s="329"/>
      <c r="H76" s="269"/>
      <c r="I76" s="269"/>
      <c r="J76" s="269"/>
      <c r="K76" s="269"/>
      <c r="L76" s="269"/>
      <c r="M76" s="269"/>
      <c r="N76" s="269"/>
      <c r="O76" s="269"/>
      <c r="P76" s="269"/>
      <c r="Q76" s="269"/>
      <c r="R76" s="269"/>
      <c r="S76" s="269"/>
      <c r="T76" s="269"/>
      <c r="U76" s="269"/>
      <c r="V76" s="269"/>
      <c r="W76" s="269"/>
      <c r="X76" s="269"/>
      <c r="Y76" s="269"/>
      <c r="Z76" s="269"/>
      <c r="AA76" s="269"/>
      <c r="AB76" s="269"/>
      <c r="AC76" s="269"/>
      <c r="AD76" s="269"/>
      <c r="AE76" s="269"/>
      <c r="AF76" s="269"/>
      <c r="AG76" s="269"/>
      <c r="AH76" s="269"/>
      <c r="AI76" s="269"/>
      <c r="AJ76" s="269"/>
      <c r="AK76" s="269"/>
      <c r="AL76" s="269"/>
      <c r="AM76" s="269"/>
      <c r="AN76" s="269"/>
      <c r="AO76" s="269"/>
      <c r="AP76" s="269"/>
      <c r="AQ76" s="269"/>
    </row>
    <row r="77" spans="1:43" s="278" customFormat="1" x14ac:dyDescent="0.2">
      <c r="A77" s="269"/>
      <c r="B77" s="329"/>
      <c r="H77" s="269"/>
      <c r="I77" s="269"/>
      <c r="J77" s="269"/>
      <c r="K77" s="269"/>
      <c r="L77" s="269"/>
      <c r="M77" s="269"/>
      <c r="N77" s="269"/>
      <c r="O77" s="269"/>
      <c r="P77" s="269"/>
      <c r="Q77" s="269"/>
      <c r="R77" s="269"/>
      <c r="S77" s="269"/>
      <c r="T77" s="269"/>
      <c r="U77" s="269"/>
      <c r="V77" s="269"/>
      <c r="W77" s="269"/>
      <c r="X77" s="269"/>
      <c r="Y77" s="269"/>
      <c r="Z77" s="269"/>
      <c r="AA77" s="269"/>
      <c r="AB77" s="269"/>
      <c r="AC77" s="269"/>
      <c r="AD77" s="269"/>
      <c r="AE77" s="269"/>
      <c r="AF77" s="269"/>
      <c r="AG77" s="269"/>
      <c r="AH77" s="269"/>
      <c r="AI77" s="269"/>
      <c r="AJ77" s="269"/>
      <c r="AK77" s="269"/>
      <c r="AL77" s="269"/>
      <c r="AM77" s="269"/>
      <c r="AN77" s="269"/>
      <c r="AO77" s="269"/>
      <c r="AP77" s="269"/>
      <c r="AQ77" s="269"/>
    </row>
    <row r="78" spans="1:43" s="278" customFormat="1" x14ac:dyDescent="0.2">
      <c r="A78" s="269"/>
      <c r="B78" s="329"/>
      <c r="H78" s="269"/>
      <c r="I78" s="269"/>
      <c r="J78" s="269"/>
      <c r="K78" s="269"/>
      <c r="L78" s="269"/>
      <c r="M78" s="269"/>
      <c r="N78" s="269"/>
      <c r="O78" s="269"/>
      <c r="P78" s="269"/>
      <c r="Q78" s="269"/>
      <c r="R78" s="269"/>
      <c r="S78" s="269"/>
      <c r="T78" s="269"/>
      <c r="U78" s="269"/>
      <c r="V78" s="269"/>
      <c r="W78" s="269"/>
      <c r="X78" s="269"/>
      <c r="Y78" s="269"/>
      <c r="Z78" s="269"/>
      <c r="AA78" s="269"/>
      <c r="AB78" s="269"/>
      <c r="AC78" s="269"/>
      <c r="AD78" s="269"/>
      <c r="AE78" s="269"/>
      <c r="AF78" s="269"/>
      <c r="AG78" s="269"/>
      <c r="AH78" s="269"/>
      <c r="AI78" s="269"/>
      <c r="AJ78" s="269"/>
      <c r="AK78" s="269"/>
      <c r="AL78" s="269"/>
      <c r="AM78" s="269"/>
      <c r="AN78" s="269"/>
      <c r="AO78" s="269"/>
      <c r="AP78" s="269"/>
      <c r="AQ78" s="269"/>
    </row>
    <row r="79" spans="1:43" s="278" customFormat="1" x14ac:dyDescent="0.2">
      <c r="A79" s="269"/>
      <c r="B79" s="329"/>
      <c r="H79" s="269"/>
      <c r="I79" s="269"/>
      <c r="J79" s="269"/>
      <c r="K79" s="269"/>
      <c r="L79" s="269"/>
      <c r="M79" s="269"/>
      <c r="N79" s="269"/>
      <c r="O79" s="269"/>
      <c r="P79" s="269"/>
      <c r="Q79" s="269"/>
      <c r="R79" s="269"/>
      <c r="S79" s="269"/>
      <c r="T79" s="269"/>
      <c r="U79" s="269"/>
      <c r="V79" s="269"/>
      <c r="W79" s="269"/>
      <c r="X79" s="269"/>
      <c r="Y79" s="269"/>
      <c r="Z79" s="269"/>
      <c r="AA79" s="269"/>
      <c r="AB79" s="269"/>
      <c r="AC79" s="269"/>
      <c r="AD79" s="269"/>
      <c r="AE79" s="269"/>
      <c r="AF79" s="269"/>
      <c r="AG79" s="269"/>
      <c r="AH79" s="269"/>
      <c r="AI79" s="269"/>
      <c r="AJ79" s="269"/>
      <c r="AK79" s="269"/>
      <c r="AL79" s="269"/>
      <c r="AM79" s="269"/>
      <c r="AN79" s="269"/>
      <c r="AO79" s="269"/>
      <c r="AP79" s="269"/>
      <c r="AQ79" s="269"/>
    </row>
    <row r="80" spans="1:43" s="278" customFormat="1" x14ac:dyDescent="0.2">
      <c r="A80" s="269"/>
      <c r="B80" s="329"/>
      <c r="H80" s="269"/>
      <c r="I80" s="269"/>
      <c r="J80" s="269"/>
      <c r="K80" s="269"/>
      <c r="L80" s="269"/>
      <c r="M80" s="269"/>
      <c r="N80" s="269"/>
      <c r="O80" s="269"/>
      <c r="P80" s="269"/>
      <c r="Q80" s="269"/>
      <c r="R80" s="269"/>
      <c r="S80" s="269"/>
      <c r="T80" s="269"/>
      <c r="U80" s="269"/>
      <c r="V80" s="269"/>
      <c r="W80" s="269"/>
      <c r="X80" s="269"/>
      <c r="Y80" s="269"/>
      <c r="Z80" s="269"/>
      <c r="AA80" s="269"/>
      <c r="AB80" s="269"/>
      <c r="AC80" s="269"/>
      <c r="AD80" s="269"/>
      <c r="AE80" s="269"/>
      <c r="AF80" s="269"/>
      <c r="AG80" s="269"/>
      <c r="AH80" s="269"/>
      <c r="AI80" s="269"/>
      <c r="AJ80" s="269"/>
      <c r="AK80" s="269"/>
      <c r="AL80" s="269"/>
      <c r="AM80" s="269"/>
      <c r="AN80" s="269"/>
      <c r="AO80" s="269"/>
      <c r="AP80" s="269"/>
      <c r="AQ80" s="269"/>
    </row>
    <row r="81" spans="1:43" s="278" customFormat="1" x14ac:dyDescent="0.2">
      <c r="A81" s="269"/>
      <c r="B81" s="329"/>
      <c r="H81" s="269"/>
      <c r="I81" s="269"/>
      <c r="J81" s="269"/>
      <c r="K81" s="269"/>
      <c r="L81" s="269"/>
      <c r="M81" s="269"/>
      <c r="N81" s="269"/>
      <c r="O81" s="269"/>
      <c r="P81" s="269"/>
      <c r="Q81" s="269"/>
      <c r="R81" s="269"/>
      <c r="S81" s="269"/>
      <c r="T81" s="269"/>
      <c r="U81" s="269"/>
      <c r="V81" s="269"/>
      <c r="W81" s="269"/>
      <c r="X81" s="269"/>
      <c r="Y81" s="269"/>
      <c r="Z81" s="269"/>
      <c r="AA81" s="269"/>
      <c r="AB81" s="269"/>
      <c r="AC81" s="269"/>
      <c r="AD81" s="269"/>
      <c r="AE81" s="269"/>
      <c r="AF81" s="269"/>
      <c r="AG81" s="269"/>
      <c r="AH81" s="269"/>
      <c r="AI81" s="269"/>
      <c r="AJ81" s="269"/>
      <c r="AK81" s="269"/>
      <c r="AL81" s="269"/>
      <c r="AM81" s="269"/>
      <c r="AN81" s="269"/>
      <c r="AO81" s="269"/>
      <c r="AP81" s="269"/>
      <c r="AQ81" s="269"/>
    </row>
    <row r="82" spans="1:43" s="278" customFormat="1" x14ac:dyDescent="0.2">
      <c r="A82" s="269"/>
      <c r="B82" s="329"/>
      <c r="H82" s="269"/>
      <c r="I82" s="269"/>
      <c r="J82" s="269"/>
      <c r="K82" s="269"/>
      <c r="L82" s="269"/>
      <c r="M82" s="269"/>
      <c r="N82" s="269"/>
      <c r="O82" s="269"/>
      <c r="P82" s="269"/>
      <c r="Q82" s="269"/>
      <c r="R82" s="269"/>
      <c r="S82" s="269"/>
      <c r="T82" s="269"/>
      <c r="U82" s="269"/>
      <c r="V82" s="269"/>
      <c r="W82" s="269"/>
      <c r="X82" s="269"/>
      <c r="Y82" s="269"/>
      <c r="Z82" s="269"/>
      <c r="AA82" s="269"/>
      <c r="AB82" s="269"/>
      <c r="AC82" s="269"/>
      <c r="AD82" s="269"/>
      <c r="AE82" s="269"/>
      <c r="AF82" s="269"/>
      <c r="AG82" s="269"/>
      <c r="AH82" s="269"/>
      <c r="AI82" s="269"/>
      <c r="AJ82" s="269"/>
      <c r="AK82" s="269"/>
      <c r="AL82" s="269"/>
      <c r="AM82" s="269"/>
      <c r="AN82" s="269"/>
      <c r="AO82" s="269"/>
      <c r="AP82" s="269"/>
      <c r="AQ82" s="269"/>
    </row>
    <row r="83" spans="1:43" s="278" customFormat="1" x14ac:dyDescent="0.2">
      <c r="A83" s="269"/>
      <c r="B83" s="329"/>
      <c r="H83" s="269"/>
      <c r="I83" s="269"/>
      <c r="J83" s="269"/>
      <c r="K83" s="269"/>
      <c r="L83" s="269"/>
      <c r="M83" s="269"/>
      <c r="N83" s="269"/>
      <c r="O83" s="269"/>
      <c r="P83" s="269"/>
      <c r="Q83" s="269"/>
      <c r="R83" s="269"/>
      <c r="S83" s="269"/>
      <c r="T83" s="269"/>
      <c r="U83" s="269"/>
      <c r="V83" s="269"/>
      <c r="W83" s="269"/>
      <c r="X83" s="269"/>
      <c r="Y83" s="269"/>
      <c r="Z83" s="269"/>
      <c r="AA83" s="269"/>
      <c r="AB83" s="269"/>
      <c r="AC83" s="269"/>
      <c r="AD83" s="269"/>
      <c r="AE83" s="269"/>
      <c r="AF83" s="269"/>
      <c r="AG83" s="269"/>
      <c r="AH83" s="269"/>
      <c r="AI83" s="269"/>
      <c r="AJ83" s="269"/>
      <c r="AK83" s="269"/>
      <c r="AL83" s="269"/>
      <c r="AM83" s="269"/>
      <c r="AN83" s="269"/>
      <c r="AO83" s="269"/>
      <c r="AP83" s="269"/>
      <c r="AQ83" s="269"/>
    </row>
    <row r="84" spans="1:43" s="278" customFormat="1" x14ac:dyDescent="0.2">
      <c r="A84" s="269"/>
      <c r="B84" s="329"/>
      <c r="H84" s="269"/>
      <c r="I84" s="269"/>
      <c r="J84" s="269"/>
      <c r="K84" s="269"/>
      <c r="L84" s="269"/>
      <c r="M84" s="269"/>
      <c r="N84" s="269"/>
      <c r="O84" s="269"/>
      <c r="P84" s="269"/>
      <c r="Q84" s="269"/>
      <c r="R84" s="269"/>
      <c r="S84" s="269"/>
      <c r="T84" s="269"/>
      <c r="U84" s="269"/>
      <c r="V84" s="269"/>
      <c r="W84" s="269"/>
      <c r="X84" s="269"/>
      <c r="Y84" s="269"/>
      <c r="Z84" s="269"/>
      <c r="AA84" s="269"/>
      <c r="AB84" s="269"/>
      <c r="AC84" s="269"/>
      <c r="AD84" s="269"/>
      <c r="AE84" s="269"/>
      <c r="AF84" s="269"/>
      <c r="AG84" s="269"/>
      <c r="AH84" s="269"/>
      <c r="AI84" s="269"/>
      <c r="AJ84" s="269"/>
      <c r="AK84" s="269"/>
      <c r="AL84" s="269"/>
      <c r="AM84" s="269"/>
      <c r="AN84" s="269"/>
      <c r="AO84" s="269"/>
      <c r="AP84" s="269"/>
      <c r="AQ84" s="269"/>
    </row>
    <row r="85" spans="1:43" s="278" customFormat="1" x14ac:dyDescent="0.2">
      <c r="A85" s="269"/>
      <c r="B85" s="329"/>
      <c r="H85" s="269"/>
      <c r="I85" s="269"/>
      <c r="J85" s="269"/>
      <c r="K85" s="269"/>
      <c r="L85" s="269"/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269"/>
      <c r="AL85" s="269"/>
      <c r="AM85" s="269"/>
      <c r="AN85" s="269"/>
      <c r="AO85" s="269"/>
      <c r="AP85" s="269"/>
      <c r="AQ85" s="269"/>
    </row>
    <row r="86" spans="1:43" s="278" customFormat="1" x14ac:dyDescent="0.2">
      <c r="A86" s="269"/>
      <c r="B86" s="329"/>
      <c r="H86" s="269"/>
      <c r="I86" s="269"/>
      <c r="J86" s="269"/>
      <c r="K86" s="269"/>
      <c r="L86" s="269"/>
      <c r="M86" s="269"/>
      <c r="N86" s="269"/>
      <c r="O86" s="269"/>
      <c r="P86" s="269"/>
      <c r="Q86" s="269"/>
      <c r="R86" s="269"/>
      <c r="S86" s="269"/>
      <c r="T86" s="269"/>
      <c r="U86" s="269"/>
      <c r="V86" s="269"/>
      <c r="W86" s="269"/>
      <c r="X86" s="269"/>
      <c r="Y86" s="269"/>
      <c r="Z86" s="269"/>
      <c r="AA86" s="269"/>
      <c r="AB86" s="269"/>
      <c r="AC86" s="269"/>
      <c r="AD86" s="269"/>
      <c r="AE86" s="269"/>
      <c r="AF86" s="269"/>
      <c r="AG86" s="269"/>
      <c r="AH86" s="269"/>
      <c r="AI86" s="269"/>
      <c r="AJ86" s="269"/>
      <c r="AK86" s="269"/>
      <c r="AL86" s="269"/>
      <c r="AM86" s="269"/>
      <c r="AN86" s="269"/>
      <c r="AO86" s="269"/>
      <c r="AP86" s="269"/>
      <c r="AQ86" s="269"/>
    </row>
    <row r="87" spans="1:43" s="278" customFormat="1" x14ac:dyDescent="0.2">
      <c r="A87" s="269"/>
      <c r="B87" s="329"/>
      <c r="H87" s="269"/>
      <c r="I87" s="269"/>
      <c r="J87" s="269"/>
      <c r="K87" s="269"/>
      <c r="L87" s="269"/>
      <c r="M87" s="269"/>
      <c r="N87" s="269"/>
      <c r="O87" s="269"/>
      <c r="P87" s="269"/>
      <c r="Q87" s="269"/>
      <c r="R87" s="269"/>
      <c r="S87" s="269"/>
      <c r="T87" s="269"/>
      <c r="U87" s="269"/>
      <c r="V87" s="269"/>
      <c r="W87" s="269"/>
      <c r="X87" s="269"/>
      <c r="Y87" s="269"/>
      <c r="Z87" s="269"/>
      <c r="AA87" s="269"/>
      <c r="AB87" s="269"/>
      <c r="AC87" s="269"/>
      <c r="AD87" s="269"/>
      <c r="AE87" s="269"/>
      <c r="AF87" s="269"/>
      <c r="AG87" s="269"/>
      <c r="AH87" s="269"/>
      <c r="AI87" s="269"/>
      <c r="AJ87" s="269"/>
      <c r="AK87" s="269"/>
      <c r="AL87" s="269"/>
      <c r="AM87" s="269"/>
      <c r="AN87" s="269"/>
      <c r="AO87" s="269"/>
      <c r="AP87" s="269"/>
      <c r="AQ87" s="269"/>
    </row>
    <row r="88" spans="1:43" s="278" customFormat="1" x14ac:dyDescent="0.2">
      <c r="A88" s="269"/>
      <c r="B88" s="329"/>
      <c r="H88" s="269"/>
      <c r="I88" s="269"/>
      <c r="J88" s="269"/>
      <c r="K88" s="269"/>
      <c r="L88" s="269"/>
      <c r="M88" s="269"/>
      <c r="N88" s="269"/>
      <c r="O88" s="269"/>
      <c r="P88" s="269"/>
      <c r="Q88" s="269"/>
      <c r="R88" s="269"/>
      <c r="S88" s="269"/>
      <c r="T88" s="269"/>
      <c r="U88" s="269"/>
      <c r="V88" s="269"/>
      <c r="W88" s="269"/>
      <c r="X88" s="269"/>
      <c r="Y88" s="269"/>
      <c r="Z88" s="269"/>
      <c r="AA88" s="269"/>
      <c r="AB88" s="269"/>
      <c r="AC88" s="269"/>
      <c r="AD88" s="269"/>
      <c r="AE88" s="269"/>
      <c r="AF88" s="269"/>
      <c r="AG88" s="269"/>
      <c r="AH88" s="269"/>
      <c r="AI88" s="269"/>
      <c r="AJ88" s="269"/>
      <c r="AK88" s="269"/>
      <c r="AL88" s="269"/>
      <c r="AM88" s="269"/>
      <c r="AN88" s="269"/>
      <c r="AO88" s="269"/>
      <c r="AP88" s="269"/>
      <c r="AQ88" s="269"/>
    </row>
    <row r="89" spans="1:43" s="278" customFormat="1" x14ac:dyDescent="0.2">
      <c r="A89" s="269"/>
      <c r="B89" s="329"/>
      <c r="H89" s="269"/>
      <c r="I89" s="269"/>
      <c r="J89" s="269"/>
      <c r="K89" s="269"/>
      <c r="L89" s="269"/>
      <c r="M89" s="269"/>
      <c r="N89" s="269"/>
      <c r="O89" s="269"/>
      <c r="P89" s="269"/>
      <c r="Q89" s="269"/>
      <c r="R89" s="269"/>
      <c r="S89" s="269"/>
      <c r="T89" s="269"/>
      <c r="U89" s="269"/>
      <c r="V89" s="269"/>
      <c r="W89" s="269"/>
      <c r="X89" s="269"/>
      <c r="Y89" s="269"/>
      <c r="Z89" s="269"/>
      <c r="AA89" s="269"/>
      <c r="AB89" s="269"/>
      <c r="AC89" s="269"/>
      <c r="AD89" s="269"/>
      <c r="AE89" s="269"/>
      <c r="AF89" s="269"/>
      <c r="AG89" s="269"/>
      <c r="AH89" s="269"/>
      <c r="AI89" s="269"/>
      <c r="AJ89" s="269"/>
      <c r="AK89" s="269"/>
      <c r="AL89" s="269"/>
      <c r="AM89" s="269"/>
      <c r="AN89" s="269"/>
      <c r="AO89" s="269"/>
      <c r="AP89" s="269"/>
      <c r="AQ89" s="269"/>
    </row>
    <row r="90" spans="1:43" s="278" customFormat="1" x14ac:dyDescent="0.2">
      <c r="A90" s="269"/>
      <c r="B90" s="329"/>
      <c r="H90" s="269"/>
      <c r="I90" s="269"/>
      <c r="J90" s="269"/>
      <c r="K90" s="269"/>
      <c r="L90" s="269"/>
      <c r="M90" s="269"/>
      <c r="N90" s="269"/>
      <c r="O90" s="269"/>
      <c r="P90" s="269"/>
      <c r="Q90" s="269"/>
      <c r="R90" s="269"/>
      <c r="S90" s="269"/>
      <c r="T90" s="269"/>
      <c r="U90" s="269"/>
      <c r="V90" s="269"/>
      <c r="W90" s="269"/>
      <c r="X90" s="269"/>
      <c r="Y90" s="269"/>
      <c r="Z90" s="269"/>
      <c r="AA90" s="269"/>
      <c r="AB90" s="269"/>
      <c r="AC90" s="269"/>
      <c r="AD90" s="269"/>
      <c r="AE90" s="269"/>
      <c r="AF90" s="269"/>
      <c r="AG90" s="269"/>
      <c r="AH90" s="269"/>
      <c r="AI90" s="269"/>
      <c r="AJ90" s="269"/>
      <c r="AK90" s="269"/>
      <c r="AL90" s="269"/>
      <c r="AM90" s="269"/>
      <c r="AN90" s="269"/>
      <c r="AO90" s="269"/>
      <c r="AP90" s="269"/>
      <c r="AQ90" s="269"/>
    </row>
    <row r="91" spans="1:43" s="278" customFormat="1" x14ac:dyDescent="0.2">
      <c r="A91" s="269"/>
      <c r="B91" s="329"/>
      <c r="H91" s="269"/>
      <c r="I91" s="269"/>
      <c r="J91" s="269"/>
      <c r="K91" s="269"/>
      <c r="L91" s="269"/>
      <c r="M91" s="269"/>
      <c r="N91" s="269"/>
      <c r="O91" s="269"/>
      <c r="P91" s="269"/>
      <c r="Q91" s="269"/>
      <c r="R91" s="269"/>
      <c r="S91" s="269"/>
      <c r="T91" s="269"/>
      <c r="U91" s="269"/>
      <c r="V91" s="269"/>
      <c r="W91" s="269"/>
      <c r="X91" s="269"/>
      <c r="Y91" s="269"/>
      <c r="Z91" s="269"/>
      <c r="AA91" s="269"/>
      <c r="AB91" s="269"/>
      <c r="AC91" s="269"/>
      <c r="AD91" s="269"/>
      <c r="AE91" s="269"/>
      <c r="AF91" s="269"/>
      <c r="AG91" s="269"/>
      <c r="AH91" s="269"/>
      <c r="AI91" s="269"/>
      <c r="AJ91" s="269"/>
      <c r="AK91" s="269"/>
      <c r="AL91" s="269"/>
      <c r="AM91" s="269"/>
      <c r="AN91" s="269"/>
      <c r="AO91" s="269"/>
      <c r="AP91" s="269"/>
      <c r="AQ91" s="269"/>
    </row>
    <row r="92" spans="1:43" s="278" customFormat="1" x14ac:dyDescent="0.2">
      <c r="A92" s="269"/>
      <c r="B92" s="329"/>
      <c r="H92" s="269"/>
      <c r="I92" s="269"/>
      <c r="J92" s="269"/>
      <c r="K92" s="269"/>
      <c r="L92" s="269"/>
      <c r="M92" s="269"/>
      <c r="N92" s="269"/>
      <c r="O92" s="269"/>
      <c r="P92" s="269"/>
      <c r="Q92" s="269"/>
      <c r="R92" s="269"/>
      <c r="S92" s="269"/>
      <c r="T92" s="269"/>
      <c r="U92" s="269"/>
      <c r="V92" s="269"/>
      <c r="W92" s="269"/>
      <c r="X92" s="269"/>
      <c r="Y92" s="269"/>
      <c r="Z92" s="269"/>
      <c r="AA92" s="269"/>
      <c r="AB92" s="269"/>
      <c r="AC92" s="269"/>
      <c r="AD92" s="269"/>
      <c r="AE92" s="269"/>
      <c r="AF92" s="269"/>
      <c r="AG92" s="269"/>
      <c r="AH92" s="269"/>
      <c r="AI92" s="269"/>
      <c r="AJ92" s="269"/>
      <c r="AK92" s="269"/>
      <c r="AL92" s="269"/>
      <c r="AM92" s="269"/>
      <c r="AN92" s="269"/>
      <c r="AO92" s="269"/>
      <c r="AP92" s="269"/>
      <c r="AQ92" s="269"/>
    </row>
    <row r="93" spans="1:43" s="278" customFormat="1" x14ac:dyDescent="0.2">
      <c r="A93" s="269"/>
      <c r="B93" s="329"/>
      <c r="H93" s="269"/>
      <c r="I93" s="269"/>
      <c r="J93" s="269"/>
      <c r="K93" s="269"/>
      <c r="L93" s="269"/>
      <c r="M93" s="269"/>
      <c r="N93" s="269"/>
      <c r="O93" s="269"/>
      <c r="P93" s="269"/>
      <c r="Q93" s="269"/>
      <c r="R93" s="269"/>
      <c r="S93" s="269"/>
      <c r="T93" s="269"/>
      <c r="U93" s="269"/>
      <c r="V93" s="269"/>
      <c r="W93" s="269"/>
      <c r="X93" s="269"/>
      <c r="Y93" s="269"/>
      <c r="Z93" s="269"/>
      <c r="AA93" s="269"/>
      <c r="AB93" s="269"/>
      <c r="AC93" s="269"/>
      <c r="AD93" s="269"/>
      <c r="AE93" s="269"/>
      <c r="AF93" s="269"/>
      <c r="AG93" s="269"/>
      <c r="AH93" s="269"/>
      <c r="AI93" s="269"/>
      <c r="AJ93" s="269"/>
      <c r="AK93" s="269"/>
      <c r="AL93" s="269"/>
      <c r="AM93" s="269"/>
      <c r="AN93" s="269"/>
      <c r="AO93" s="269"/>
      <c r="AP93" s="269"/>
      <c r="AQ93" s="269"/>
    </row>
    <row r="94" spans="1:43" s="278" customFormat="1" x14ac:dyDescent="0.2">
      <c r="A94" s="269"/>
      <c r="B94" s="32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69"/>
      <c r="T94" s="269"/>
      <c r="U94" s="269"/>
      <c r="V94" s="269"/>
      <c r="W94" s="269"/>
      <c r="X94" s="269"/>
      <c r="Y94" s="269"/>
      <c r="Z94" s="269"/>
      <c r="AA94" s="269"/>
      <c r="AB94" s="269"/>
      <c r="AC94" s="269"/>
      <c r="AD94" s="269"/>
      <c r="AE94" s="269"/>
      <c r="AF94" s="269"/>
      <c r="AG94" s="269"/>
      <c r="AH94" s="269"/>
      <c r="AI94" s="269"/>
      <c r="AJ94" s="269"/>
      <c r="AK94" s="269"/>
      <c r="AL94" s="269"/>
      <c r="AM94" s="269"/>
      <c r="AN94" s="269"/>
      <c r="AO94" s="269"/>
      <c r="AP94" s="269"/>
      <c r="AQ94" s="269"/>
    </row>
    <row r="95" spans="1:43" s="278" customFormat="1" x14ac:dyDescent="0.2">
      <c r="A95" s="269"/>
      <c r="B95" s="329"/>
      <c r="H95" s="269"/>
      <c r="I95" s="269"/>
      <c r="J95" s="269"/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9"/>
      <c r="AH95" s="269"/>
      <c r="AI95" s="269"/>
      <c r="AJ95" s="269"/>
      <c r="AK95" s="269"/>
      <c r="AL95" s="269"/>
      <c r="AM95" s="269"/>
      <c r="AN95" s="269"/>
      <c r="AO95" s="269"/>
      <c r="AP95" s="269"/>
      <c r="AQ95" s="269"/>
    </row>
    <row r="96" spans="1:43" s="278" customFormat="1" x14ac:dyDescent="0.2">
      <c r="A96" s="269"/>
      <c r="B96" s="329"/>
      <c r="H96" s="269"/>
      <c r="I96" s="269"/>
      <c r="J96" s="269"/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9"/>
      <c r="AH96" s="269"/>
      <c r="AI96" s="269"/>
      <c r="AJ96" s="269"/>
      <c r="AK96" s="269"/>
      <c r="AL96" s="269"/>
      <c r="AM96" s="269"/>
      <c r="AN96" s="269"/>
      <c r="AO96" s="269"/>
      <c r="AP96" s="269"/>
      <c r="AQ96" s="269"/>
    </row>
    <row r="97" spans="1:43" s="278" customFormat="1" x14ac:dyDescent="0.2">
      <c r="A97" s="269"/>
      <c r="B97" s="329"/>
      <c r="H97" s="269"/>
      <c r="I97" s="269"/>
      <c r="J97" s="269"/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69"/>
      <c r="AH97" s="269"/>
      <c r="AI97" s="269"/>
      <c r="AJ97" s="269"/>
      <c r="AK97" s="269"/>
      <c r="AL97" s="269"/>
      <c r="AM97" s="269"/>
      <c r="AN97" s="269"/>
      <c r="AO97" s="269"/>
      <c r="AP97" s="269"/>
      <c r="AQ97" s="269"/>
    </row>
    <row r="98" spans="1:43" s="278" customFormat="1" x14ac:dyDescent="0.2">
      <c r="A98" s="269"/>
      <c r="B98" s="329"/>
      <c r="H98" s="269"/>
      <c r="I98" s="269"/>
      <c r="J98" s="269"/>
      <c r="K98" s="269"/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69"/>
      <c r="AH98" s="269"/>
      <c r="AI98" s="269"/>
      <c r="AJ98" s="269"/>
      <c r="AK98" s="269"/>
      <c r="AL98" s="269"/>
      <c r="AM98" s="269"/>
      <c r="AN98" s="269"/>
      <c r="AO98" s="269"/>
      <c r="AP98" s="269"/>
      <c r="AQ98" s="269"/>
    </row>
    <row r="99" spans="1:43" s="278" customFormat="1" x14ac:dyDescent="0.2">
      <c r="A99" s="269"/>
      <c r="B99" s="329"/>
      <c r="H99" s="269"/>
      <c r="I99" s="269"/>
      <c r="J99" s="269"/>
      <c r="K99" s="269"/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269"/>
      <c r="AG99" s="269"/>
      <c r="AH99" s="269"/>
      <c r="AI99" s="269"/>
      <c r="AJ99" s="269"/>
      <c r="AK99" s="269"/>
      <c r="AL99" s="269"/>
      <c r="AM99" s="269"/>
      <c r="AN99" s="269"/>
      <c r="AO99" s="269"/>
      <c r="AP99" s="269"/>
      <c r="AQ99" s="269"/>
    </row>
    <row r="100" spans="1:43" s="278" customFormat="1" x14ac:dyDescent="0.2">
      <c r="A100" s="269"/>
      <c r="B100" s="329"/>
      <c r="H100" s="269"/>
      <c r="I100" s="269"/>
      <c r="J100" s="269"/>
      <c r="K100" s="269"/>
      <c r="L100" s="269"/>
      <c r="M100" s="269"/>
      <c r="N100" s="269"/>
      <c r="O100" s="269"/>
      <c r="P100" s="269"/>
      <c r="Q100" s="269"/>
      <c r="R100" s="269"/>
      <c r="S100" s="269"/>
      <c r="T100" s="269"/>
      <c r="U100" s="269"/>
      <c r="V100" s="269"/>
      <c r="W100" s="269"/>
      <c r="X100" s="269"/>
      <c r="Y100" s="269"/>
      <c r="Z100" s="269"/>
      <c r="AA100" s="269"/>
      <c r="AB100" s="269"/>
      <c r="AC100" s="269"/>
      <c r="AD100" s="269"/>
      <c r="AE100" s="269"/>
      <c r="AF100" s="269"/>
      <c r="AG100" s="269"/>
      <c r="AH100" s="269"/>
      <c r="AI100" s="269"/>
      <c r="AJ100" s="269"/>
      <c r="AK100" s="269"/>
      <c r="AL100" s="269"/>
      <c r="AM100" s="269"/>
      <c r="AN100" s="269"/>
      <c r="AO100" s="269"/>
      <c r="AP100" s="269"/>
      <c r="AQ100" s="269"/>
    </row>
    <row r="101" spans="1:43" s="278" customFormat="1" x14ac:dyDescent="0.2">
      <c r="A101" s="269"/>
      <c r="B101" s="329"/>
      <c r="H101" s="269"/>
      <c r="I101" s="269"/>
      <c r="J101" s="269"/>
      <c r="K101" s="269"/>
      <c r="L101" s="269"/>
      <c r="M101" s="269"/>
      <c r="N101" s="269"/>
      <c r="O101" s="269"/>
      <c r="P101" s="269"/>
      <c r="Q101" s="269"/>
      <c r="R101" s="269"/>
      <c r="S101" s="269"/>
      <c r="T101" s="269"/>
      <c r="U101" s="269"/>
      <c r="V101" s="269"/>
      <c r="W101" s="269"/>
      <c r="X101" s="269"/>
      <c r="Y101" s="269"/>
      <c r="Z101" s="269"/>
      <c r="AA101" s="269"/>
      <c r="AB101" s="269"/>
      <c r="AC101" s="269"/>
      <c r="AD101" s="269"/>
      <c r="AE101" s="269"/>
      <c r="AF101" s="269"/>
      <c r="AG101" s="269"/>
      <c r="AH101" s="269"/>
      <c r="AI101" s="269"/>
      <c r="AJ101" s="269"/>
      <c r="AK101" s="269"/>
      <c r="AL101" s="269"/>
      <c r="AM101" s="269"/>
      <c r="AN101" s="269"/>
      <c r="AO101" s="269"/>
      <c r="AP101" s="269"/>
      <c r="AQ101" s="269"/>
    </row>
    <row r="102" spans="1:43" s="278" customFormat="1" x14ac:dyDescent="0.2">
      <c r="A102" s="269"/>
      <c r="B102" s="329"/>
      <c r="H102" s="269"/>
      <c r="I102" s="269"/>
      <c r="J102" s="269"/>
      <c r="K102" s="269"/>
      <c r="L102" s="269"/>
      <c r="M102" s="269"/>
      <c r="N102" s="269"/>
      <c r="O102" s="269"/>
      <c r="P102" s="269"/>
      <c r="Q102" s="269"/>
      <c r="R102" s="269"/>
      <c r="S102" s="269"/>
      <c r="T102" s="269"/>
      <c r="U102" s="269"/>
      <c r="V102" s="269"/>
      <c r="W102" s="269"/>
      <c r="X102" s="269"/>
      <c r="Y102" s="269"/>
      <c r="Z102" s="269"/>
      <c r="AA102" s="269"/>
      <c r="AB102" s="269"/>
      <c r="AC102" s="269"/>
      <c r="AD102" s="269"/>
      <c r="AE102" s="269"/>
      <c r="AF102" s="269"/>
      <c r="AG102" s="269"/>
      <c r="AH102" s="269"/>
      <c r="AI102" s="269"/>
      <c r="AJ102" s="269"/>
      <c r="AK102" s="269"/>
      <c r="AL102" s="269"/>
      <c r="AM102" s="269"/>
      <c r="AN102" s="269"/>
      <c r="AO102" s="269"/>
      <c r="AP102" s="269"/>
      <c r="AQ102" s="269"/>
    </row>
    <row r="103" spans="1:43" s="278" customFormat="1" x14ac:dyDescent="0.2">
      <c r="A103" s="269"/>
      <c r="B103" s="329"/>
      <c r="H103" s="269"/>
      <c r="I103" s="269"/>
      <c r="J103" s="269"/>
      <c r="K103" s="269"/>
      <c r="L103" s="269"/>
      <c r="M103" s="269"/>
      <c r="N103" s="269"/>
      <c r="O103" s="269"/>
      <c r="P103" s="269"/>
      <c r="Q103" s="269"/>
      <c r="R103" s="269"/>
      <c r="S103" s="269"/>
      <c r="T103" s="269"/>
      <c r="U103" s="269"/>
      <c r="V103" s="269"/>
      <c r="W103" s="269"/>
      <c r="X103" s="269"/>
      <c r="Y103" s="269"/>
      <c r="Z103" s="269"/>
      <c r="AA103" s="269"/>
      <c r="AB103" s="269"/>
      <c r="AC103" s="269"/>
      <c r="AD103" s="269"/>
      <c r="AE103" s="269"/>
      <c r="AF103" s="269"/>
      <c r="AG103" s="269"/>
      <c r="AH103" s="269"/>
      <c r="AI103" s="269"/>
      <c r="AJ103" s="269"/>
      <c r="AK103" s="269"/>
      <c r="AL103" s="269"/>
      <c r="AM103" s="269"/>
      <c r="AN103" s="269"/>
      <c r="AO103" s="269"/>
      <c r="AP103" s="269"/>
      <c r="AQ103" s="269"/>
    </row>
    <row r="104" spans="1:43" s="278" customFormat="1" x14ac:dyDescent="0.2">
      <c r="A104" s="269"/>
      <c r="B104" s="329"/>
      <c r="H104" s="269"/>
      <c r="I104" s="269"/>
      <c r="J104" s="269"/>
      <c r="K104" s="269"/>
      <c r="L104" s="269"/>
      <c r="M104" s="269"/>
      <c r="N104" s="269"/>
      <c r="O104" s="269"/>
      <c r="P104" s="269"/>
      <c r="Q104" s="269"/>
      <c r="R104" s="269"/>
      <c r="S104" s="269"/>
      <c r="T104" s="269"/>
      <c r="U104" s="269"/>
      <c r="V104" s="269"/>
      <c r="W104" s="269"/>
      <c r="X104" s="269"/>
      <c r="Y104" s="269"/>
      <c r="Z104" s="269"/>
      <c r="AA104" s="269"/>
      <c r="AB104" s="269"/>
      <c r="AC104" s="269"/>
      <c r="AD104" s="269"/>
      <c r="AE104" s="269"/>
      <c r="AF104" s="269"/>
      <c r="AG104" s="269"/>
      <c r="AH104" s="269"/>
      <c r="AI104" s="269"/>
      <c r="AJ104" s="269"/>
      <c r="AK104" s="269"/>
      <c r="AL104" s="269"/>
      <c r="AM104" s="269"/>
      <c r="AN104" s="269"/>
      <c r="AO104" s="269"/>
      <c r="AP104" s="269"/>
      <c r="AQ104" s="269"/>
    </row>
    <row r="105" spans="1:43" s="278" customFormat="1" x14ac:dyDescent="0.2">
      <c r="A105" s="269"/>
      <c r="B105" s="329"/>
      <c r="H105" s="269"/>
      <c r="I105" s="269"/>
      <c r="J105" s="269"/>
      <c r="K105" s="269"/>
      <c r="L105" s="269"/>
      <c r="M105" s="269"/>
      <c r="N105" s="269"/>
      <c r="O105" s="269"/>
      <c r="P105" s="269"/>
      <c r="Q105" s="269"/>
      <c r="R105" s="269"/>
      <c r="S105" s="269"/>
      <c r="T105" s="269"/>
      <c r="U105" s="269"/>
      <c r="V105" s="269"/>
      <c r="W105" s="269"/>
      <c r="X105" s="269"/>
      <c r="Y105" s="269"/>
      <c r="Z105" s="269"/>
      <c r="AA105" s="269"/>
      <c r="AB105" s="269"/>
      <c r="AC105" s="269"/>
      <c r="AD105" s="269"/>
      <c r="AE105" s="269"/>
      <c r="AF105" s="269"/>
      <c r="AG105" s="269"/>
      <c r="AH105" s="269"/>
      <c r="AI105" s="269"/>
      <c r="AJ105" s="269"/>
      <c r="AK105" s="269"/>
      <c r="AL105" s="269"/>
      <c r="AM105" s="269"/>
      <c r="AN105" s="269"/>
      <c r="AO105" s="269"/>
      <c r="AP105" s="269"/>
      <c r="AQ105" s="269"/>
    </row>
    <row r="106" spans="1:43" s="278" customFormat="1" x14ac:dyDescent="0.2">
      <c r="A106" s="269"/>
      <c r="B106" s="329"/>
      <c r="H106" s="269"/>
      <c r="I106" s="269"/>
      <c r="J106" s="269"/>
      <c r="K106" s="269"/>
      <c r="L106" s="269"/>
      <c r="M106" s="269"/>
      <c r="N106" s="269"/>
      <c r="O106" s="269"/>
      <c r="P106" s="269"/>
      <c r="Q106" s="269"/>
      <c r="R106" s="269"/>
      <c r="S106" s="269"/>
      <c r="T106" s="269"/>
      <c r="U106" s="269"/>
      <c r="V106" s="269"/>
      <c r="W106" s="269"/>
      <c r="X106" s="269"/>
      <c r="Y106" s="269"/>
      <c r="Z106" s="269"/>
      <c r="AA106" s="269"/>
      <c r="AB106" s="269"/>
      <c r="AC106" s="269"/>
      <c r="AD106" s="269"/>
      <c r="AE106" s="269"/>
      <c r="AF106" s="269"/>
      <c r="AG106" s="269"/>
      <c r="AH106" s="269"/>
      <c r="AI106" s="269"/>
      <c r="AJ106" s="269"/>
      <c r="AK106" s="269"/>
      <c r="AL106" s="269"/>
      <c r="AM106" s="269"/>
      <c r="AN106" s="269"/>
      <c r="AO106" s="269"/>
      <c r="AP106" s="269"/>
      <c r="AQ106" s="269"/>
    </row>
    <row r="107" spans="1:43" s="278" customFormat="1" x14ac:dyDescent="0.2">
      <c r="A107" s="269"/>
      <c r="B107" s="329"/>
      <c r="H107" s="269"/>
      <c r="I107" s="269"/>
      <c r="J107" s="269"/>
      <c r="K107" s="269"/>
      <c r="L107" s="269"/>
      <c r="M107" s="269"/>
      <c r="N107" s="269"/>
      <c r="O107" s="269"/>
      <c r="P107" s="269"/>
      <c r="Q107" s="269"/>
      <c r="R107" s="269"/>
      <c r="S107" s="269"/>
      <c r="T107" s="269"/>
      <c r="U107" s="269"/>
      <c r="V107" s="269"/>
      <c r="W107" s="269"/>
      <c r="X107" s="269"/>
      <c r="Y107" s="269"/>
      <c r="Z107" s="269"/>
      <c r="AA107" s="269"/>
      <c r="AB107" s="269"/>
      <c r="AC107" s="269"/>
      <c r="AD107" s="269"/>
      <c r="AE107" s="269"/>
      <c r="AF107" s="269"/>
      <c r="AG107" s="269"/>
      <c r="AH107" s="269"/>
      <c r="AI107" s="269"/>
      <c r="AJ107" s="269"/>
      <c r="AK107" s="269"/>
      <c r="AL107" s="269"/>
      <c r="AM107" s="269"/>
      <c r="AN107" s="269"/>
      <c r="AO107" s="269"/>
      <c r="AP107" s="269"/>
      <c r="AQ107" s="269"/>
    </row>
    <row r="108" spans="1:43" s="278" customFormat="1" x14ac:dyDescent="0.2">
      <c r="A108" s="269"/>
      <c r="B108" s="329"/>
      <c r="H108" s="269"/>
      <c r="I108" s="269"/>
      <c r="J108" s="269"/>
      <c r="K108" s="269"/>
      <c r="L108" s="269"/>
      <c r="M108" s="269"/>
      <c r="N108" s="269"/>
      <c r="O108" s="269"/>
      <c r="P108" s="269"/>
      <c r="Q108" s="269"/>
      <c r="R108" s="269"/>
      <c r="S108" s="269"/>
      <c r="T108" s="269"/>
      <c r="U108" s="269"/>
      <c r="V108" s="269"/>
      <c r="W108" s="269"/>
      <c r="X108" s="269"/>
      <c r="Y108" s="269"/>
      <c r="Z108" s="269"/>
      <c r="AA108" s="269"/>
      <c r="AB108" s="269"/>
      <c r="AC108" s="269"/>
      <c r="AD108" s="269"/>
      <c r="AE108" s="269"/>
      <c r="AF108" s="269"/>
      <c r="AG108" s="269"/>
      <c r="AH108" s="269"/>
      <c r="AI108" s="269"/>
      <c r="AJ108" s="269"/>
      <c r="AK108" s="269"/>
      <c r="AL108" s="269"/>
      <c r="AM108" s="269"/>
      <c r="AN108" s="269"/>
      <c r="AO108" s="269"/>
      <c r="AP108" s="269"/>
      <c r="AQ108" s="269"/>
    </row>
    <row r="109" spans="1:43" s="278" customFormat="1" x14ac:dyDescent="0.2">
      <c r="A109" s="269"/>
      <c r="B109" s="329"/>
      <c r="H109" s="269"/>
      <c r="I109" s="269"/>
      <c r="J109" s="269"/>
      <c r="K109" s="269"/>
      <c r="L109" s="269"/>
      <c r="M109" s="269"/>
      <c r="N109" s="269"/>
      <c r="O109" s="269"/>
      <c r="P109" s="269"/>
      <c r="Q109" s="269"/>
      <c r="R109" s="269"/>
      <c r="S109" s="269"/>
      <c r="T109" s="269"/>
      <c r="U109" s="269"/>
      <c r="V109" s="269"/>
      <c r="W109" s="269"/>
      <c r="X109" s="269"/>
      <c r="Y109" s="269"/>
      <c r="Z109" s="269"/>
      <c r="AA109" s="269"/>
      <c r="AB109" s="269"/>
      <c r="AC109" s="269"/>
      <c r="AD109" s="269"/>
      <c r="AE109" s="269"/>
      <c r="AF109" s="269"/>
      <c r="AG109" s="269"/>
      <c r="AH109" s="269"/>
      <c r="AI109" s="269"/>
      <c r="AJ109" s="269"/>
      <c r="AK109" s="269"/>
      <c r="AL109" s="269"/>
      <c r="AM109" s="269"/>
      <c r="AN109" s="269"/>
      <c r="AO109" s="269"/>
      <c r="AP109" s="269"/>
      <c r="AQ109" s="269"/>
    </row>
  </sheetData>
  <mergeCells count="20">
    <mergeCell ref="A13:J13"/>
    <mergeCell ref="A1:G1"/>
    <mergeCell ref="A2:B2"/>
    <mergeCell ref="E2:G2"/>
    <mergeCell ref="A3:B3"/>
    <mergeCell ref="E3:G3"/>
    <mergeCell ref="A4:B4"/>
    <mergeCell ref="E4:G4"/>
    <mergeCell ref="A5:B5"/>
    <mergeCell ref="E5:G5"/>
    <mergeCell ref="A6:B6"/>
    <mergeCell ref="E6:G6"/>
    <mergeCell ref="A11:G11"/>
    <mergeCell ref="A39:C39"/>
    <mergeCell ref="C51:E51"/>
    <mergeCell ref="A14:G14"/>
    <mergeCell ref="C19:F19"/>
    <mergeCell ref="A22:B22"/>
    <mergeCell ref="A29:B29"/>
    <mergeCell ref="A37:B37"/>
  </mergeCells>
  <printOptions horizontalCentered="1"/>
  <pageMargins left="0.59055118110236227" right="0.19685039370078741" top="0.98425196850393704" bottom="0.78740157480314965" header="0.51181102362204722" footer="0.31496062992125984"/>
  <pageSetup paperSize="9" scale="69" fitToHeight="0" orientation="portrait" r:id="rId1"/>
  <headerFooter alignWithMargins="0"/>
  <rowBreaks count="1" manualBreakCount="1">
    <brk id="41" max="8" man="1"/>
  </rowBreaks>
  <colBreaks count="2" manualBreakCount="2">
    <brk id="15" max="1048575" man="1"/>
    <brk id="18" max="1048575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abSelected="1" zoomScale="90" zoomScaleNormal="90" workbookViewId="0">
      <selection activeCell="E31" sqref="E31"/>
    </sheetView>
  </sheetViews>
  <sheetFormatPr defaultColWidth="9.140625" defaultRowHeight="15" x14ac:dyDescent="0.25"/>
  <cols>
    <col min="2" max="2" width="31.140625" customWidth="1"/>
    <col min="3" max="3" width="11.7109375" customWidth="1"/>
    <col min="5" max="5" width="15.28515625" customWidth="1"/>
    <col min="6" max="6" width="14.140625" customWidth="1"/>
    <col min="7" max="7" width="0" hidden="1" customWidth="1"/>
    <col min="8" max="8" width="17.28515625" customWidth="1"/>
    <col min="9" max="9" width="14.7109375" customWidth="1"/>
    <col min="11" max="11" width="13.28515625" customWidth="1"/>
    <col min="14" max="14" width="12" customWidth="1"/>
    <col min="257" max="257" width="31.140625" customWidth="1"/>
    <col min="258" max="258" width="11.7109375" customWidth="1"/>
    <col min="260" max="260" width="11.7109375" bestFit="1" customWidth="1"/>
    <col min="261" max="261" width="14.140625" customWidth="1"/>
    <col min="262" max="262" width="0" hidden="1" customWidth="1"/>
    <col min="263" max="263" width="22.140625" customWidth="1"/>
    <col min="264" max="264" width="11.42578125" bestFit="1" customWidth="1"/>
    <col min="513" max="513" width="31.140625" customWidth="1"/>
    <col min="514" max="514" width="11.7109375" customWidth="1"/>
    <col min="516" max="516" width="11.7109375" bestFit="1" customWidth="1"/>
    <col min="517" max="517" width="14.140625" customWidth="1"/>
    <col min="518" max="518" width="0" hidden="1" customWidth="1"/>
    <col min="519" max="519" width="22.140625" customWidth="1"/>
    <col min="520" max="520" width="11.42578125" bestFit="1" customWidth="1"/>
    <col min="769" max="769" width="31.140625" customWidth="1"/>
    <col min="770" max="770" width="11.7109375" customWidth="1"/>
    <col min="772" max="772" width="11.7109375" bestFit="1" customWidth="1"/>
    <col min="773" max="773" width="14.140625" customWidth="1"/>
    <col min="774" max="774" width="0" hidden="1" customWidth="1"/>
    <col min="775" max="775" width="22.140625" customWidth="1"/>
    <col min="776" max="776" width="11.42578125" bestFit="1" customWidth="1"/>
    <col min="1025" max="1025" width="31.140625" customWidth="1"/>
    <col min="1026" max="1026" width="11.7109375" customWidth="1"/>
    <col min="1028" max="1028" width="11.7109375" bestFit="1" customWidth="1"/>
    <col min="1029" max="1029" width="14.140625" customWidth="1"/>
    <col min="1030" max="1030" width="0" hidden="1" customWidth="1"/>
    <col min="1031" max="1031" width="22.140625" customWidth="1"/>
    <col min="1032" max="1032" width="11.42578125" bestFit="1" customWidth="1"/>
    <col min="1281" max="1281" width="31.140625" customWidth="1"/>
    <col min="1282" max="1282" width="11.7109375" customWidth="1"/>
    <col min="1284" max="1284" width="11.7109375" bestFit="1" customWidth="1"/>
    <col min="1285" max="1285" width="14.140625" customWidth="1"/>
    <col min="1286" max="1286" width="0" hidden="1" customWidth="1"/>
    <col min="1287" max="1287" width="22.140625" customWidth="1"/>
    <col min="1288" max="1288" width="11.42578125" bestFit="1" customWidth="1"/>
    <col min="1537" max="1537" width="31.140625" customWidth="1"/>
    <col min="1538" max="1538" width="11.7109375" customWidth="1"/>
    <col min="1540" max="1540" width="11.7109375" bestFit="1" customWidth="1"/>
    <col min="1541" max="1541" width="14.140625" customWidth="1"/>
    <col min="1542" max="1542" width="0" hidden="1" customWidth="1"/>
    <col min="1543" max="1543" width="22.140625" customWidth="1"/>
    <col min="1544" max="1544" width="11.42578125" bestFit="1" customWidth="1"/>
    <col min="1793" max="1793" width="31.140625" customWidth="1"/>
    <col min="1794" max="1794" width="11.7109375" customWidth="1"/>
    <col min="1796" max="1796" width="11.7109375" bestFit="1" customWidth="1"/>
    <col min="1797" max="1797" width="14.140625" customWidth="1"/>
    <col min="1798" max="1798" width="0" hidden="1" customWidth="1"/>
    <col min="1799" max="1799" width="22.140625" customWidth="1"/>
    <col min="1800" max="1800" width="11.42578125" bestFit="1" customWidth="1"/>
    <col min="2049" max="2049" width="31.140625" customWidth="1"/>
    <col min="2050" max="2050" width="11.7109375" customWidth="1"/>
    <col min="2052" max="2052" width="11.7109375" bestFit="1" customWidth="1"/>
    <col min="2053" max="2053" width="14.140625" customWidth="1"/>
    <col min="2054" max="2054" width="0" hidden="1" customWidth="1"/>
    <col min="2055" max="2055" width="22.140625" customWidth="1"/>
    <col min="2056" max="2056" width="11.42578125" bestFit="1" customWidth="1"/>
    <col min="2305" max="2305" width="31.140625" customWidth="1"/>
    <col min="2306" max="2306" width="11.7109375" customWidth="1"/>
    <col min="2308" max="2308" width="11.7109375" bestFit="1" customWidth="1"/>
    <col min="2309" max="2309" width="14.140625" customWidth="1"/>
    <col min="2310" max="2310" width="0" hidden="1" customWidth="1"/>
    <col min="2311" max="2311" width="22.140625" customWidth="1"/>
    <col min="2312" max="2312" width="11.42578125" bestFit="1" customWidth="1"/>
    <col min="2561" max="2561" width="31.140625" customWidth="1"/>
    <col min="2562" max="2562" width="11.7109375" customWidth="1"/>
    <col min="2564" max="2564" width="11.7109375" bestFit="1" customWidth="1"/>
    <col min="2565" max="2565" width="14.140625" customWidth="1"/>
    <col min="2566" max="2566" width="0" hidden="1" customWidth="1"/>
    <col min="2567" max="2567" width="22.140625" customWidth="1"/>
    <col min="2568" max="2568" width="11.42578125" bestFit="1" customWidth="1"/>
    <col min="2817" max="2817" width="31.140625" customWidth="1"/>
    <col min="2818" max="2818" width="11.7109375" customWidth="1"/>
    <col min="2820" max="2820" width="11.7109375" bestFit="1" customWidth="1"/>
    <col min="2821" max="2821" width="14.140625" customWidth="1"/>
    <col min="2822" max="2822" width="0" hidden="1" customWidth="1"/>
    <col min="2823" max="2823" width="22.140625" customWidth="1"/>
    <col min="2824" max="2824" width="11.42578125" bestFit="1" customWidth="1"/>
    <col min="3073" max="3073" width="31.140625" customWidth="1"/>
    <col min="3074" max="3074" width="11.7109375" customWidth="1"/>
    <col min="3076" max="3076" width="11.7109375" bestFit="1" customWidth="1"/>
    <col min="3077" max="3077" width="14.140625" customWidth="1"/>
    <col min="3078" max="3078" width="0" hidden="1" customWidth="1"/>
    <col min="3079" max="3079" width="22.140625" customWidth="1"/>
    <col min="3080" max="3080" width="11.42578125" bestFit="1" customWidth="1"/>
    <col min="3329" max="3329" width="31.140625" customWidth="1"/>
    <col min="3330" max="3330" width="11.7109375" customWidth="1"/>
    <col min="3332" max="3332" width="11.7109375" bestFit="1" customWidth="1"/>
    <col min="3333" max="3333" width="14.140625" customWidth="1"/>
    <col min="3334" max="3334" width="0" hidden="1" customWidth="1"/>
    <col min="3335" max="3335" width="22.140625" customWidth="1"/>
    <col min="3336" max="3336" width="11.42578125" bestFit="1" customWidth="1"/>
    <col min="3585" max="3585" width="31.140625" customWidth="1"/>
    <col min="3586" max="3586" width="11.7109375" customWidth="1"/>
    <col min="3588" max="3588" width="11.7109375" bestFit="1" customWidth="1"/>
    <col min="3589" max="3589" width="14.140625" customWidth="1"/>
    <col min="3590" max="3590" width="0" hidden="1" customWidth="1"/>
    <col min="3591" max="3591" width="22.140625" customWidth="1"/>
    <col min="3592" max="3592" width="11.42578125" bestFit="1" customWidth="1"/>
    <col min="3841" max="3841" width="31.140625" customWidth="1"/>
    <col min="3842" max="3842" width="11.7109375" customWidth="1"/>
    <col min="3844" max="3844" width="11.7109375" bestFit="1" customWidth="1"/>
    <col min="3845" max="3845" width="14.140625" customWidth="1"/>
    <col min="3846" max="3846" width="0" hidden="1" customWidth="1"/>
    <col min="3847" max="3847" width="22.140625" customWidth="1"/>
    <col min="3848" max="3848" width="11.42578125" bestFit="1" customWidth="1"/>
    <col min="4097" max="4097" width="31.140625" customWidth="1"/>
    <col min="4098" max="4098" width="11.7109375" customWidth="1"/>
    <col min="4100" max="4100" width="11.7109375" bestFit="1" customWidth="1"/>
    <col min="4101" max="4101" width="14.140625" customWidth="1"/>
    <col min="4102" max="4102" width="0" hidden="1" customWidth="1"/>
    <col min="4103" max="4103" width="22.140625" customWidth="1"/>
    <col min="4104" max="4104" width="11.42578125" bestFit="1" customWidth="1"/>
    <col min="4353" max="4353" width="31.140625" customWidth="1"/>
    <col min="4354" max="4354" width="11.7109375" customWidth="1"/>
    <col min="4356" max="4356" width="11.7109375" bestFit="1" customWidth="1"/>
    <col min="4357" max="4357" width="14.140625" customWidth="1"/>
    <col min="4358" max="4358" width="0" hidden="1" customWidth="1"/>
    <col min="4359" max="4359" width="22.140625" customWidth="1"/>
    <col min="4360" max="4360" width="11.42578125" bestFit="1" customWidth="1"/>
    <col min="4609" max="4609" width="31.140625" customWidth="1"/>
    <col min="4610" max="4610" width="11.7109375" customWidth="1"/>
    <col min="4612" max="4612" width="11.7109375" bestFit="1" customWidth="1"/>
    <col min="4613" max="4613" width="14.140625" customWidth="1"/>
    <col min="4614" max="4614" width="0" hidden="1" customWidth="1"/>
    <col min="4615" max="4615" width="22.140625" customWidth="1"/>
    <col min="4616" max="4616" width="11.42578125" bestFit="1" customWidth="1"/>
    <col min="4865" max="4865" width="31.140625" customWidth="1"/>
    <col min="4866" max="4866" width="11.7109375" customWidth="1"/>
    <col min="4868" max="4868" width="11.7109375" bestFit="1" customWidth="1"/>
    <col min="4869" max="4869" width="14.140625" customWidth="1"/>
    <col min="4870" max="4870" width="0" hidden="1" customWidth="1"/>
    <col min="4871" max="4871" width="22.140625" customWidth="1"/>
    <col min="4872" max="4872" width="11.42578125" bestFit="1" customWidth="1"/>
    <col min="5121" max="5121" width="31.140625" customWidth="1"/>
    <col min="5122" max="5122" width="11.7109375" customWidth="1"/>
    <col min="5124" max="5124" width="11.7109375" bestFit="1" customWidth="1"/>
    <col min="5125" max="5125" width="14.140625" customWidth="1"/>
    <col min="5126" max="5126" width="0" hidden="1" customWidth="1"/>
    <col min="5127" max="5127" width="22.140625" customWidth="1"/>
    <col min="5128" max="5128" width="11.42578125" bestFit="1" customWidth="1"/>
    <col min="5377" max="5377" width="31.140625" customWidth="1"/>
    <col min="5378" max="5378" width="11.7109375" customWidth="1"/>
    <col min="5380" max="5380" width="11.7109375" bestFit="1" customWidth="1"/>
    <col min="5381" max="5381" width="14.140625" customWidth="1"/>
    <col min="5382" max="5382" width="0" hidden="1" customWidth="1"/>
    <col min="5383" max="5383" width="22.140625" customWidth="1"/>
    <col min="5384" max="5384" width="11.42578125" bestFit="1" customWidth="1"/>
    <col min="5633" max="5633" width="31.140625" customWidth="1"/>
    <col min="5634" max="5634" width="11.7109375" customWidth="1"/>
    <col min="5636" max="5636" width="11.7109375" bestFit="1" customWidth="1"/>
    <col min="5637" max="5637" width="14.140625" customWidth="1"/>
    <col min="5638" max="5638" width="0" hidden="1" customWidth="1"/>
    <col min="5639" max="5639" width="22.140625" customWidth="1"/>
    <col min="5640" max="5640" width="11.42578125" bestFit="1" customWidth="1"/>
    <col min="5889" max="5889" width="31.140625" customWidth="1"/>
    <col min="5890" max="5890" width="11.7109375" customWidth="1"/>
    <col min="5892" max="5892" width="11.7109375" bestFit="1" customWidth="1"/>
    <col min="5893" max="5893" width="14.140625" customWidth="1"/>
    <col min="5894" max="5894" width="0" hidden="1" customWidth="1"/>
    <col min="5895" max="5895" width="22.140625" customWidth="1"/>
    <col min="5896" max="5896" width="11.42578125" bestFit="1" customWidth="1"/>
    <col min="6145" max="6145" width="31.140625" customWidth="1"/>
    <col min="6146" max="6146" width="11.7109375" customWidth="1"/>
    <col min="6148" max="6148" width="11.7109375" bestFit="1" customWidth="1"/>
    <col min="6149" max="6149" width="14.140625" customWidth="1"/>
    <col min="6150" max="6150" width="0" hidden="1" customWidth="1"/>
    <col min="6151" max="6151" width="22.140625" customWidth="1"/>
    <col min="6152" max="6152" width="11.42578125" bestFit="1" customWidth="1"/>
    <col min="6401" max="6401" width="31.140625" customWidth="1"/>
    <col min="6402" max="6402" width="11.7109375" customWidth="1"/>
    <col min="6404" max="6404" width="11.7109375" bestFit="1" customWidth="1"/>
    <col min="6405" max="6405" width="14.140625" customWidth="1"/>
    <col min="6406" max="6406" width="0" hidden="1" customWidth="1"/>
    <col min="6407" max="6407" width="22.140625" customWidth="1"/>
    <col min="6408" max="6408" width="11.42578125" bestFit="1" customWidth="1"/>
    <col min="6657" max="6657" width="31.140625" customWidth="1"/>
    <col min="6658" max="6658" width="11.7109375" customWidth="1"/>
    <col min="6660" max="6660" width="11.7109375" bestFit="1" customWidth="1"/>
    <col min="6661" max="6661" width="14.140625" customWidth="1"/>
    <col min="6662" max="6662" width="0" hidden="1" customWidth="1"/>
    <col min="6663" max="6663" width="22.140625" customWidth="1"/>
    <col min="6664" max="6664" width="11.42578125" bestFit="1" customWidth="1"/>
    <col min="6913" max="6913" width="31.140625" customWidth="1"/>
    <col min="6914" max="6914" width="11.7109375" customWidth="1"/>
    <col min="6916" max="6916" width="11.7109375" bestFit="1" customWidth="1"/>
    <col min="6917" max="6917" width="14.140625" customWidth="1"/>
    <col min="6918" max="6918" width="0" hidden="1" customWidth="1"/>
    <col min="6919" max="6919" width="22.140625" customWidth="1"/>
    <col min="6920" max="6920" width="11.42578125" bestFit="1" customWidth="1"/>
    <col min="7169" max="7169" width="31.140625" customWidth="1"/>
    <col min="7170" max="7170" width="11.7109375" customWidth="1"/>
    <col min="7172" max="7172" width="11.7109375" bestFit="1" customWidth="1"/>
    <col min="7173" max="7173" width="14.140625" customWidth="1"/>
    <col min="7174" max="7174" width="0" hidden="1" customWidth="1"/>
    <col min="7175" max="7175" width="22.140625" customWidth="1"/>
    <col min="7176" max="7176" width="11.42578125" bestFit="1" customWidth="1"/>
    <col min="7425" max="7425" width="31.140625" customWidth="1"/>
    <col min="7426" max="7426" width="11.7109375" customWidth="1"/>
    <col min="7428" max="7428" width="11.7109375" bestFit="1" customWidth="1"/>
    <col min="7429" max="7429" width="14.140625" customWidth="1"/>
    <col min="7430" max="7430" width="0" hidden="1" customWidth="1"/>
    <col min="7431" max="7431" width="22.140625" customWidth="1"/>
    <col min="7432" max="7432" width="11.42578125" bestFit="1" customWidth="1"/>
    <col min="7681" max="7681" width="31.140625" customWidth="1"/>
    <col min="7682" max="7682" width="11.7109375" customWidth="1"/>
    <col min="7684" max="7684" width="11.7109375" bestFit="1" customWidth="1"/>
    <col min="7685" max="7685" width="14.140625" customWidth="1"/>
    <col min="7686" max="7686" width="0" hidden="1" customWidth="1"/>
    <col min="7687" max="7687" width="22.140625" customWidth="1"/>
    <col min="7688" max="7688" width="11.42578125" bestFit="1" customWidth="1"/>
    <col min="7937" max="7937" width="31.140625" customWidth="1"/>
    <col min="7938" max="7938" width="11.7109375" customWidth="1"/>
    <col min="7940" max="7940" width="11.7109375" bestFit="1" customWidth="1"/>
    <col min="7941" max="7941" width="14.140625" customWidth="1"/>
    <col min="7942" max="7942" width="0" hidden="1" customWidth="1"/>
    <col min="7943" max="7943" width="22.140625" customWidth="1"/>
    <col min="7944" max="7944" width="11.42578125" bestFit="1" customWidth="1"/>
    <col min="8193" max="8193" width="31.140625" customWidth="1"/>
    <col min="8194" max="8194" width="11.7109375" customWidth="1"/>
    <col min="8196" max="8196" width="11.7109375" bestFit="1" customWidth="1"/>
    <col min="8197" max="8197" width="14.140625" customWidth="1"/>
    <col min="8198" max="8198" width="0" hidden="1" customWidth="1"/>
    <col min="8199" max="8199" width="22.140625" customWidth="1"/>
    <col min="8200" max="8200" width="11.42578125" bestFit="1" customWidth="1"/>
    <col min="8449" max="8449" width="31.140625" customWidth="1"/>
    <col min="8450" max="8450" width="11.7109375" customWidth="1"/>
    <col min="8452" max="8452" width="11.7109375" bestFit="1" customWidth="1"/>
    <col min="8453" max="8453" width="14.140625" customWidth="1"/>
    <col min="8454" max="8454" width="0" hidden="1" customWidth="1"/>
    <col min="8455" max="8455" width="22.140625" customWidth="1"/>
    <col min="8456" max="8456" width="11.42578125" bestFit="1" customWidth="1"/>
    <col min="8705" max="8705" width="31.140625" customWidth="1"/>
    <col min="8706" max="8706" width="11.7109375" customWidth="1"/>
    <col min="8708" max="8708" width="11.7109375" bestFit="1" customWidth="1"/>
    <col min="8709" max="8709" width="14.140625" customWidth="1"/>
    <col min="8710" max="8710" width="0" hidden="1" customWidth="1"/>
    <col min="8711" max="8711" width="22.140625" customWidth="1"/>
    <col min="8712" max="8712" width="11.42578125" bestFit="1" customWidth="1"/>
    <col min="8961" max="8961" width="31.140625" customWidth="1"/>
    <col min="8962" max="8962" width="11.7109375" customWidth="1"/>
    <col min="8964" max="8964" width="11.7109375" bestFit="1" customWidth="1"/>
    <col min="8965" max="8965" width="14.140625" customWidth="1"/>
    <col min="8966" max="8966" width="0" hidden="1" customWidth="1"/>
    <col min="8967" max="8967" width="22.140625" customWidth="1"/>
    <col min="8968" max="8968" width="11.42578125" bestFit="1" customWidth="1"/>
    <col min="9217" max="9217" width="31.140625" customWidth="1"/>
    <col min="9218" max="9218" width="11.7109375" customWidth="1"/>
    <col min="9220" max="9220" width="11.7109375" bestFit="1" customWidth="1"/>
    <col min="9221" max="9221" width="14.140625" customWidth="1"/>
    <col min="9222" max="9222" width="0" hidden="1" customWidth="1"/>
    <col min="9223" max="9223" width="22.140625" customWidth="1"/>
    <col min="9224" max="9224" width="11.42578125" bestFit="1" customWidth="1"/>
    <col min="9473" max="9473" width="31.140625" customWidth="1"/>
    <col min="9474" max="9474" width="11.7109375" customWidth="1"/>
    <col min="9476" max="9476" width="11.7109375" bestFit="1" customWidth="1"/>
    <col min="9477" max="9477" width="14.140625" customWidth="1"/>
    <col min="9478" max="9478" width="0" hidden="1" customWidth="1"/>
    <col min="9479" max="9479" width="22.140625" customWidth="1"/>
    <col min="9480" max="9480" width="11.42578125" bestFit="1" customWidth="1"/>
    <col min="9729" max="9729" width="31.140625" customWidth="1"/>
    <col min="9730" max="9730" width="11.7109375" customWidth="1"/>
    <col min="9732" max="9732" width="11.7109375" bestFit="1" customWidth="1"/>
    <col min="9733" max="9733" width="14.140625" customWidth="1"/>
    <col min="9734" max="9734" width="0" hidden="1" customWidth="1"/>
    <col min="9735" max="9735" width="22.140625" customWidth="1"/>
    <col min="9736" max="9736" width="11.42578125" bestFit="1" customWidth="1"/>
    <col min="9985" max="9985" width="31.140625" customWidth="1"/>
    <col min="9986" max="9986" width="11.7109375" customWidth="1"/>
    <col min="9988" max="9988" width="11.7109375" bestFit="1" customWidth="1"/>
    <col min="9989" max="9989" width="14.140625" customWidth="1"/>
    <col min="9990" max="9990" width="0" hidden="1" customWidth="1"/>
    <col min="9991" max="9991" width="22.140625" customWidth="1"/>
    <col min="9992" max="9992" width="11.42578125" bestFit="1" customWidth="1"/>
    <col min="10241" max="10241" width="31.140625" customWidth="1"/>
    <col min="10242" max="10242" width="11.7109375" customWidth="1"/>
    <col min="10244" max="10244" width="11.7109375" bestFit="1" customWidth="1"/>
    <col min="10245" max="10245" width="14.140625" customWidth="1"/>
    <col min="10246" max="10246" width="0" hidden="1" customWidth="1"/>
    <col min="10247" max="10247" width="22.140625" customWidth="1"/>
    <col min="10248" max="10248" width="11.42578125" bestFit="1" customWidth="1"/>
    <col min="10497" max="10497" width="31.140625" customWidth="1"/>
    <col min="10498" max="10498" width="11.7109375" customWidth="1"/>
    <col min="10500" max="10500" width="11.7109375" bestFit="1" customWidth="1"/>
    <col min="10501" max="10501" width="14.140625" customWidth="1"/>
    <col min="10502" max="10502" width="0" hidden="1" customWidth="1"/>
    <col min="10503" max="10503" width="22.140625" customWidth="1"/>
    <col min="10504" max="10504" width="11.42578125" bestFit="1" customWidth="1"/>
    <col min="10753" max="10753" width="31.140625" customWidth="1"/>
    <col min="10754" max="10754" width="11.7109375" customWidth="1"/>
    <col min="10756" max="10756" width="11.7109375" bestFit="1" customWidth="1"/>
    <col min="10757" max="10757" width="14.140625" customWidth="1"/>
    <col min="10758" max="10758" width="0" hidden="1" customWidth="1"/>
    <col min="10759" max="10759" width="22.140625" customWidth="1"/>
    <col min="10760" max="10760" width="11.42578125" bestFit="1" customWidth="1"/>
    <col min="11009" max="11009" width="31.140625" customWidth="1"/>
    <col min="11010" max="11010" width="11.7109375" customWidth="1"/>
    <col min="11012" max="11012" width="11.7109375" bestFit="1" customWidth="1"/>
    <col min="11013" max="11013" width="14.140625" customWidth="1"/>
    <col min="11014" max="11014" width="0" hidden="1" customWidth="1"/>
    <col min="11015" max="11015" width="22.140625" customWidth="1"/>
    <col min="11016" max="11016" width="11.42578125" bestFit="1" customWidth="1"/>
    <col min="11265" max="11265" width="31.140625" customWidth="1"/>
    <col min="11266" max="11266" width="11.7109375" customWidth="1"/>
    <col min="11268" max="11268" width="11.7109375" bestFit="1" customWidth="1"/>
    <col min="11269" max="11269" width="14.140625" customWidth="1"/>
    <col min="11270" max="11270" width="0" hidden="1" customWidth="1"/>
    <col min="11271" max="11271" width="22.140625" customWidth="1"/>
    <col min="11272" max="11272" width="11.42578125" bestFit="1" customWidth="1"/>
    <col min="11521" max="11521" width="31.140625" customWidth="1"/>
    <col min="11522" max="11522" width="11.7109375" customWidth="1"/>
    <col min="11524" max="11524" width="11.7109375" bestFit="1" customWidth="1"/>
    <col min="11525" max="11525" width="14.140625" customWidth="1"/>
    <col min="11526" max="11526" width="0" hidden="1" customWidth="1"/>
    <col min="11527" max="11527" width="22.140625" customWidth="1"/>
    <col min="11528" max="11528" width="11.42578125" bestFit="1" customWidth="1"/>
    <col min="11777" max="11777" width="31.140625" customWidth="1"/>
    <col min="11778" max="11778" width="11.7109375" customWidth="1"/>
    <col min="11780" max="11780" width="11.7109375" bestFit="1" customWidth="1"/>
    <col min="11781" max="11781" width="14.140625" customWidth="1"/>
    <col min="11782" max="11782" width="0" hidden="1" customWidth="1"/>
    <col min="11783" max="11783" width="22.140625" customWidth="1"/>
    <col min="11784" max="11784" width="11.42578125" bestFit="1" customWidth="1"/>
    <col min="12033" max="12033" width="31.140625" customWidth="1"/>
    <col min="12034" max="12034" width="11.7109375" customWidth="1"/>
    <col min="12036" max="12036" width="11.7109375" bestFit="1" customWidth="1"/>
    <col min="12037" max="12037" width="14.140625" customWidth="1"/>
    <col min="12038" max="12038" width="0" hidden="1" customWidth="1"/>
    <col min="12039" max="12039" width="22.140625" customWidth="1"/>
    <col min="12040" max="12040" width="11.42578125" bestFit="1" customWidth="1"/>
    <col min="12289" max="12289" width="31.140625" customWidth="1"/>
    <col min="12290" max="12290" width="11.7109375" customWidth="1"/>
    <col min="12292" max="12292" width="11.7109375" bestFit="1" customWidth="1"/>
    <col min="12293" max="12293" width="14.140625" customWidth="1"/>
    <col min="12294" max="12294" width="0" hidden="1" customWidth="1"/>
    <col min="12295" max="12295" width="22.140625" customWidth="1"/>
    <col min="12296" max="12296" width="11.42578125" bestFit="1" customWidth="1"/>
    <col min="12545" max="12545" width="31.140625" customWidth="1"/>
    <col min="12546" max="12546" width="11.7109375" customWidth="1"/>
    <col min="12548" max="12548" width="11.7109375" bestFit="1" customWidth="1"/>
    <col min="12549" max="12549" width="14.140625" customWidth="1"/>
    <col min="12550" max="12550" width="0" hidden="1" customWidth="1"/>
    <col min="12551" max="12551" width="22.140625" customWidth="1"/>
    <col min="12552" max="12552" width="11.42578125" bestFit="1" customWidth="1"/>
    <col min="12801" max="12801" width="31.140625" customWidth="1"/>
    <col min="12802" max="12802" width="11.7109375" customWidth="1"/>
    <col min="12804" max="12804" width="11.7109375" bestFit="1" customWidth="1"/>
    <col min="12805" max="12805" width="14.140625" customWidth="1"/>
    <col min="12806" max="12806" width="0" hidden="1" customWidth="1"/>
    <col min="12807" max="12807" width="22.140625" customWidth="1"/>
    <col min="12808" max="12808" width="11.42578125" bestFit="1" customWidth="1"/>
    <col min="13057" max="13057" width="31.140625" customWidth="1"/>
    <col min="13058" max="13058" width="11.7109375" customWidth="1"/>
    <col min="13060" max="13060" width="11.7109375" bestFit="1" customWidth="1"/>
    <col min="13061" max="13061" width="14.140625" customWidth="1"/>
    <col min="13062" max="13062" width="0" hidden="1" customWidth="1"/>
    <col min="13063" max="13063" width="22.140625" customWidth="1"/>
    <col min="13064" max="13064" width="11.42578125" bestFit="1" customWidth="1"/>
    <col min="13313" max="13313" width="31.140625" customWidth="1"/>
    <col min="13314" max="13314" width="11.7109375" customWidth="1"/>
    <col min="13316" max="13316" width="11.7109375" bestFit="1" customWidth="1"/>
    <col min="13317" max="13317" width="14.140625" customWidth="1"/>
    <col min="13318" max="13318" width="0" hidden="1" customWidth="1"/>
    <col min="13319" max="13319" width="22.140625" customWidth="1"/>
    <col min="13320" max="13320" width="11.42578125" bestFit="1" customWidth="1"/>
    <col min="13569" max="13569" width="31.140625" customWidth="1"/>
    <col min="13570" max="13570" width="11.7109375" customWidth="1"/>
    <col min="13572" max="13572" width="11.7109375" bestFit="1" customWidth="1"/>
    <col min="13573" max="13573" width="14.140625" customWidth="1"/>
    <col min="13574" max="13574" width="0" hidden="1" customWidth="1"/>
    <col min="13575" max="13575" width="22.140625" customWidth="1"/>
    <col min="13576" max="13576" width="11.42578125" bestFit="1" customWidth="1"/>
    <col min="13825" max="13825" width="31.140625" customWidth="1"/>
    <col min="13826" max="13826" width="11.7109375" customWidth="1"/>
    <col min="13828" max="13828" width="11.7109375" bestFit="1" customWidth="1"/>
    <col min="13829" max="13829" width="14.140625" customWidth="1"/>
    <col min="13830" max="13830" width="0" hidden="1" customWidth="1"/>
    <col min="13831" max="13831" width="22.140625" customWidth="1"/>
    <col min="13832" max="13832" width="11.42578125" bestFit="1" customWidth="1"/>
    <col min="14081" max="14081" width="31.140625" customWidth="1"/>
    <col min="14082" max="14082" width="11.7109375" customWidth="1"/>
    <col min="14084" max="14084" width="11.7109375" bestFit="1" customWidth="1"/>
    <col min="14085" max="14085" width="14.140625" customWidth="1"/>
    <col min="14086" max="14086" width="0" hidden="1" customWidth="1"/>
    <col min="14087" max="14087" width="22.140625" customWidth="1"/>
    <col min="14088" max="14088" width="11.42578125" bestFit="1" customWidth="1"/>
    <col min="14337" max="14337" width="31.140625" customWidth="1"/>
    <col min="14338" max="14338" width="11.7109375" customWidth="1"/>
    <col min="14340" max="14340" width="11.7109375" bestFit="1" customWidth="1"/>
    <col min="14341" max="14341" width="14.140625" customWidth="1"/>
    <col min="14342" max="14342" width="0" hidden="1" customWidth="1"/>
    <col min="14343" max="14343" width="22.140625" customWidth="1"/>
    <col min="14344" max="14344" width="11.42578125" bestFit="1" customWidth="1"/>
    <col min="14593" max="14593" width="31.140625" customWidth="1"/>
    <col min="14594" max="14594" width="11.7109375" customWidth="1"/>
    <col min="14596" max="14596" width="11.7109375" bestFit="1" customWidth="1"/>
    <col min="14597" max="14597" width="14.140625" customWidth="1"/>
    <col min="14598" max="14598" width="0" hidden="1" customWidth="1"/>
    <col min="14599" max="14599" width="22.140625" customWidth="1"/>
    <col min="14600" max="14600" width="11.42578125" bestFit="1" customWidth="1"/>
    <col min="14849" max="14849" width="31.140625" customWidth="1"/>
    <col min="14850" max="14850" width="11.7109375" customWidth="1"/>
    <col min="14852" max="14852" width="11.7109375" bestFit="1" customWidth="1"/>
    <col min="14853" max="14853" width="14.140625" customWidth="1"/>
    <col min="14854" max="14854" width="0" hidden="1" customWidth="1"/>
    <col min="14855" max="14855" width="22.140625" customWidth="1"/>
    <col min="14856" max="14856" width="11.42578125" bestFit="1" customWidth="1"/>
    <col min="15105" max="15105" width="31.140625" customWidth="1"/>
    <col min="15106" max="15106" width="11.7109375" customWidth="1"/>
    <col min="15108" max="15108" width="11.7109375" bestFit="1" customWidth="1"/>
    <col min="15109" max="15109" width="14.140625" customWidth="1"/>
    <col min="15110" max="15110" width="0" hidden="1" customWidth="1"/>
    <col min="15111" max="15111" width="22.140625" customWidth="1"/>
    <col min="15112" max="15112" width="11.42578125" bestFit="1" customWidth="1"/>
    <col min="15361" max="15361" width="31.140625" customWidth="1"/>
    <col min="15362" max="15362" width="11.7109375" customWidth="1"/>
    <col min="15364" max="15364" width="11.7109375" bestFit="1" customWidth="1"/>
    <col min="15365" max="15365" width="14.140625" customWidth="1"/>
    <col min="15366" max="15366" width="0" hidden="1" customWidth="1"/>
    <col min="15367" max="15367" width="22.140625" customWidth="1"/>
    <col min="15368" max="15368" width="11.42578125" bestFit="1" customWidth="1"/>
    <col min="15617" max="15617" width="31.140625" customWidth="1"/>
    <col min="15618" max="15618" width="11.7109375" customWidth="1"/>
    <col min="15620" max="15620" width="11.7109375" bestFit="1" customWidth="1"/>
    <col min="15621" max="15621" width="14.140625" customWidth="1"/>
    <col min="15622" max="15622" width="0" hidden="1" customWidth="1"/>
    <col min="15623" max="15623" width="22.140625" customWidth="1"/>
    <col min="15624" max="15624" width="11.42578125" bestFit="1" customWidth="1"/>
    <col min="15873" max="15873" width="31.140625" customWidth="1"/>
    <col min="15874" max="15874" width="11.7109375" customWidth="1"/>
    <col min="15876" max="15876" width="11.7109375" bestFit="1" customWidth="1"/>
    <col min="15877" max="15877" width="14.140625" customWidth="1"/>
    <col min="15878" max="15878" width="0" hidden="1" customWidth="1"/>
    <col min="15879" max="15879" width="22.140625" customWidth="1"/>
    <col min="15880" max="15880" width="11.42578125" bestFit="1" customWidth="1"/>
    <col min="16129" max="16129" width="31.140625" customWidth="1"/>
    <col min="16130" max="16130" width="11.7109375" customWidth="1"/>
    <col min="16132" max="16132" width="11.7109375" bestFit="1" customWidth="1"/>
    <col min="16133" max="16133" width="14.140625" customWidth="1"/>
    <col min="16134" max="16134" width="0" hidden="1" customWidth="1"/>
    <col min="16135" max="16135" width="22.140625" customWidth="1"/>
    <col min="16136" max="16136" width="11.42578125" bestFit="1" customWidth="1"/>
  </cols>
  <sheetData>
    <row r="1" spans="1:17" x14ac:dyDescent="0.25">
      <c r="A1" s="885" t="s">
        <v>130</v>
      </c>
      <c r="B1" s="885"/>
      <c r="C1" s="885"/>
      <c r="E1" s="885" t="s">
        <v>129</v>
      </c>
      <c r="F1" s="885"/>
      <c r="G1" s="885"/>
      <c r="H1" s="885"/>
    </row>
    <row r="2" spans="1:17" x14ac:dyDescent="0.25">
      <c r="A2" s="886" t="s">
        <v>128</v>
      </c>
      <c r="B2" s="886"/>
      <c r="C2" s="886"/>
      <c r="E2" s="886" t="s">
        <v>127</v>
      </c>
      <c r="F2" s="886"/>
      <c r="G2" s="886"/>
      <c r="H2" s="886"/>
    </row>
    <row r="3" spans="1:17" ht="8.25" customHeight="1" x14ac:dyDescent="0.25">
      <c r="A3" s="886"/>
      <c r="B3" s="886"/>
      <c r="C3" s="886"/>
      <c r="E3" s="886"/>
      <c r="F3" s="886"/>
      <c r="G3" s="886"/>
      <c r="H3" s="886"/>
    </row>
    <row r="4" spans="1:17" hidden="1" x14ac:dyDescent="0.25">
      <c r="A4" s="886"/>
      <c r="B4" s="886"/>
      <c r="C4" s="886"/>
      <c r="E4" s="886"/>
      <c r="F4" s="886"/>
      <c r="G4" s="886"/>
      <c r="H4" s="886"/>
    </row>
    <row r="5" spans="1:17" hidden="1" x14ac:dyDescent="0.25">
      <c r="A5" s="886"/>
      <c r="B5" s="886"/>
      <c r="C5" s="886"/>
      <c r="E5" s="886"/>
      <c r="F5" s="886"/>
      <c r="G5" s="886"/>
      <c r="H5" s="886"/>
    </row>
    <row r="6" spans="1:17" x14ac:dyDescent="0.25">
      <c r="A6" s="887" t="s">
        <v>126</v>
      </c>
      <c r="B6" s="887"/>
      <c r="C6" s="887"/>
      <c r="D6" s="246"/>
      <c r="E6" s="887" t="s">
        <v>125</v>
      </c>
      <c r="F6" s="761"/>
      <c r="G6" s="761"/>
      <c r="H6" s="761"/>
    </row>
    <row r="7" spans="1:17" ht="18.75" x14ac:dyDescent="0.3">
      <c r="A7" s="888" t="s">
        <v>124</v>
      </c>
      <c r="B7" s="888"/>
      <c r="C7" s="888"/>
      <c r="D7" s="888"/>
      <c r="E7" s="888"/>
      <c r="F7" s="888"/>
      <c r="G7" s="888"/>
      <c r="H7" s="888"/>
    </row>
    <row r="8" spans="1:17" ht="18.75" x14ac:dyDescent="0.3">
      <c r="A8" s="889" t="s">
        <v>123</v>
      </c>
      <c r="B8" s="889"/>
      <c r="C8" s="889"/>
      <c r="D8" s="889"/>
      <c r="E8" s="889"/>
      <c r="F8" s="889"/>
      <c r="G8" s="889"/>
      <c r="H8" s="889"/>
    </row>
    <row r="9" spans="1:17" ht="46.5" customHeight="1" x14ac:dyDescent="0.25">
      <c r="A9" s="833" t="s">
        <v>346</v>
      </c>
      <c r="B9" s="833"/>
      <c r="C9" s="833"/>
      <c r="D9" s="833"/>
      <c r="E9" s="833"/>
      <c r="F9" s="833"/>
      <c r="G9" s="833"/>
      <c r="H9" s="833"/>
      <c r="I9" s="245"/>
      <c r="J9" s="245"/>
      <c r="K9" s="245"/>
      <c r="L9" s="245"/>
      <c r="M9" s="245"/>
      <c r="N9" s="245"/>
      <c r="O9" s="245"/>
      <c r="P9" s="245"/>
      <c r="Q9" s="245"/>
    </row>
    <row r="10" spans="1:17" hidden="1" x14ac:dyDescent="0.25">
      <c r="A10" s="890" t="s">
        <v>122</v>
      </c>
      <c r="B10" s="890"/>
      <c r="C10" s="890"/>
      <c r="D10" s="890"/>
      <c r="E10" s="890"/>
      <c r="F10" s="890"/>
      <c r="G10" s="244"/>
      <c r="H10" s="244"/>
    </row>
    <row r="11" spans="1:17" hidden="1" x14ac:dyDescent="0.25">
      <c r="A11" s="891" t="s">
        <v>121</v>
      </c>
      <c r="B11" s="891"/>
      <c r="C11" s="891"/>
      <c r="D11" s="891"/>
      <c r="E11" s="891"/>
      <c r="F11" s="891"/>
      <c r="G11" s="243"/>
      <c r="H11" s="243"/>
    </row>
    <row r="12" spans="1:17" x14ac:dyDescent="0.25">
      <c r="A12" s="242"/>
      <c r="B12" s="242"/>
      <c r="C12" s="241"/>
      <c r="D12" s="241"/>
      <c r="E12" s="241"/>
      <c r="F12" s="241"/>
      <c r="G12" s="241"/>
      <c r="H12" s="241"/>
    </row>
    <row r="13" spans="1:17" x14ac:dyDescent="0.25">
      <c r="A13" s="892"/>
      <c r="B13" s="892"/>
      <c r="C13" s="892"/>
      <c r="D13" s="892"/>
      <c r="E13" s="892"/>
      <c r="F13" s="892"/>
      <c r="G13" s="892"/>
      <c r="H13" s="892"/>
    </row>
    <row r="14" spans="1:17" x14ac:dyDescent="0.25">
      <c r="A14" s="896" t="s">
        <v>120</v>
      </c>
      <c r="B14" s="896" t="s">
        <v>119</v>
      </c>
      <c r="C14" s="896" t="s">
        <v>118</v>
      </c>
      <c r="D14" s="897" t="s">
        <v>117</v>
      </c>
      <c r="E14" s="899" t="s">
        <v>116</v>
      </c>
      <c r="F14" s="899"/>
      <c r="G14" s="899"/>
      <c r="H14" s="899"/>
    </row>
    <row r="15" spans="1:17" ht="44.25" customHeight="1" x14ac:dyDescent="0.25">
      <c r="A15" s="896"/>
      <c r="B15" s="896"/>
      <c r="C15" s="896"/>
      <c r="D15" s="898"/>
      <c r="E15" s="240" t="s">
        <v>115</v>
      </c>
      <c r="F15" s="240" t="s">
        <v>114</v>
      </c>
      <c r="G15" s="239"/>
      <c r="H15" s="239" t="s">
        <v>113</v>
      </c>
    </row>
    <row r="16" spans="1:17" hidden="1" x14ac:dyDescent="0.25">
      <c r="A16" s="900" t="s">
        <v>112</v>
      </c>
      <c r="B16" s="901"/>
      <c r="C16" s="901"/>
      <c r="D16" s="901"/>
      <c r="E16" s="901"/>
      <c r="F16" s="901"/>
      <c r="G16" s="901"/>
      <c r="H16" s="902"/>
    </row>
    <row r="17" spans="1:9" hidden="1" x14ac:dyDescent="0.25">
      <c r="A17" s="226"/>
      <c r="B17" s="226"/>
      <c r="C17" s="227"/>
      <c r="D17" s="235"/>
      <c r="E17" s="236"/>
      <c r="F17" s="220"/>
      <c r="G17" s="220"/>
      <c r="H17" s="220"/>
    </row>
    <row r="18" spans="1:9" hidden="1" x14ac:dyDescent="0.25">
      <c r="A18" s="226"/>
      <c r="B18" s="226"/>
      <c r="C18" s="227"/>
      <c r="D18" s="235"/>
      <c r="E18" s="236"/>
      <c r="F18" s="220"/>
      <c r="G18" s="220"/>
      <c r="H18" s="220"/>
    </row>
    <row r="19" spans="1:9" hidden="1" x14ac:dyDescent="0.25">
      <c r="A19" s="226"/>
      <c r="B19" s="226"/>
      <c r="C19" s="227"/>
      <c r="D19" s="235"/>
      <c r="E19" s="236"/>
      <c r="F19" s="220"/>
      <c r="G19" s="220"/>
      <c r="H19" s="220"/>
    </row>
    <row r="20" spans="1:9" hidden="1" x14ac:dyDescent="0.25">
      <c r="A20" s="226"/>
      <c r="B20" s="226"/>
      <c r="C20" s="227"/>
      <c r="D20" s="235"/>
      <c r="E20" s="236"/>
      <c r="F20" s="220"/>
      <c r="G20" s="220"/>
      <c r="H20" s="220"/>
    </row>
    <row r="21" spans="1:9" hidden="1" x14ac:dyDescent="0.25">
      <c r="A21" s="226"/>
      <c r="B21" s="226"/>
      <c r="C21" s="227"/>
      <c r="D21" s="235"/>
      <c r="E21" s="236"/>
      <c r="F21" s="220"/>
      <c r="G21" s="220"/>
      <c r="H21" s="220"/>
    </row>
    <row r="22" spans="1:9" hidden="1" x14ac:dyDescent="0.25">
      <c r="A22" s="226"/>
      <c r="B22" s="226"/>
      <c r="C22" s="227"/>
      <c r="D22" s="226"/>
      <c r="E22" s="220"/>
      <c r="F22" s="220"/>
      <c r="G22" s="225"/>
      <c r="H22" s="220"/>
    </row>
    <row r="23" spans="1:9" hidden="1" x14ac:dyDescent="0.25">
      <c r="A23" s="226"/>
      <c r="B23" s="226"/>
      <c r="C23" s="227"/>
      <c r="D23" s="226"/>
      <c r="E23" s="220"/>
      <c r="F23" s="220"/>
      <c r="G23" s="225"/>
      <c r="H23" s="220"/>
    </row>
    <row r="24" spans="1:9" hidden="1" x14ac:dyDescent="0.25">
      <c r="A24" s="893"/>
      <c r="B24" s="894"/>
      <c r="C24" s="894"/>
      <c r="D24" s="895"/>
      <c r="E24" s="220"/>
      <c r="F24" s="220"/>
      <c r="G24" s="219"/>
      <c r="H24" s="220"/>
    </row>
    <row r="25" spans="1:9" hidden="1" x14ac:dyDescent="0.25">
      <c r="A25" s="232"/>
      <c r="B25" s="903"/>
      <c r="C25" s="903"/>
      <c r="D25" s="903"/>
      <c r="E25" s="903"/>
      <c r="F25" s="903"/>
      <c r="G25" s="238"/>
      <c r="H25" s="237"/>
    </row>
    <row r="26" spans="1:9" hidden="1" x14ac:dyDescent="0.25">
      <c r="A26" s="232"/>
      <c r="B26" s="903"/>
      <c r="C26" s="903"/>
      <c r="D26" s="903"/>
      <c r="E26" s="903"/>
      <c r="F26" s="903"/>
      <c r="G26" s="238"/>
      <c r="H26" s="237"/>
    </row>
    <row r="27" spans="1:9" hidden="1" x14ac:dyDescent="0.25">
      <c r="A27" s="232"/>
      <c r="B27" s="903"/>
      <c r="C27" s="903"/>
      <c r="D27" s="903"/>
      <c r="E27" s="903"/>
      <c r="F27" s="903"/>
      <c r="G27" s="238"/>
      <c r="H27" s="237"/>
    </row>
    <row r="28" spans="1:9" x14ac:dyDescent="0.25">
      <c r="A28" s="900" t="s">
        <v>347</v>
      </c>
      <c r="B28" s="901"/>
      <c r="C28" s="901"/>
      <c r="D28" s="901"/>
      <c r="E28" s="901"/>
      <c r="F28" s="901"/>
      <c r="G28" s="901"/>
      <c r="H28" s="902"/>
    </row>
    <row r="29" spans="1:9" hidden="1" x14ac:dyDescent="0.25">
      <c r="A29" s="226"/>
      <c r="B29" s="226"/>
      <c r="C29" s="227"/>
      <c r="D29" s="235"/>
      <c r="E29" s="236"/>
      <c r="F29" s="220"/>
      <c r="G29" s="220" t="e">
        <f>#REF!</f>
        <v>#REF!</v>
      </c>
      <c r="H29" s="220"/>
    </row>
    <row r="30" spans="1:9" ht="25.5" x14ac:dyDescent="0.25">
      <c r="A30" s="226" t="s">
        <v>111</v>
      </c>
      <c r="B30" s="228" t="s">
        <v>345</v>
      </c>
      <c r="C30" s="227"/>
      <c r="D30" s="235"/>
      <c r="E30" s="220">
        <f>геол!H73+Эколог!G44+'топограф 2,97км'!H32+'планировка территории'!E25+межевание!E25</f>
        <v>676648.20234696683</v>
      </c>
      <c r="F30" s="220">
        <f>'ПИР КЛ 10кВ  2,97км'!O41</f>
        <v>506502.10340000002</v>
      </c>
      <c r="G30" s="220" t="e">
        <f>#REF!</f>
        <v>#REF!</v>
      </c>
      <c r="H30" s="220">
        <f>E30+F30</f>
        <v>1183150.305746967</v>
      </c>
      <c r="I30" s="217"/>
    </row>
    <row r="31" spans="1:9" ht="25.5" x14ac:dyDescent="0.25">
      <c r="A31" s="228" t="s">
        <v>110</v>
      </c>
      <c r="B31" s="228" t="s">
        <v>344</v>
      </c>
      <c r="C31" s="227"/>
      <c r="D31" s="226"/>
      <c r="E31" s="220">
        <f>'ТОП прокол ( 0,38)'!H38</f>
        <v>53321.403143800009</v>
      </c>
      <c r="F31" s="220">
        <f>'ПИР КЛ прокол (3)'!I7*1000</f>
        <v>220854.55859292593</v>
      </c>
      <c r="G31" s="225"/>
      <c r="H31" s="220">
        <f>E31+F31</f>
        <v>274175.96173672593</v>
      </c>
      <c r="I31" s="216"/>
    </row>
    <row r="32" spans="1:9" hidden="1" x14ac:dyDescent="0.25">
      <c r="A32" s="228"/>
      <c r="B32" s="228"/>
      <c r="C32" s="227"/>
      <c r="D32" s="226"/>
      <c r="E32" s="220"/>
      <c r="F32" s="220"/>
      <c r="G32" s="225"/>
      <c r="H32" s="220"/>
      <c r="I32" s="216"/>
    </row>
    <row r="33" spans="1:13" hidden="1" x14ac:dyDescent="0.25">
      <c r="A33" s="234"/>
      <c r="B33" s="233"/>
      <c r="C33" s="232"/>
      <c r="D33" s="231"/>
      <c r="E33" s="229"/>
      <c r="F33" s="229"/>
      <c r="G33" s="230"/>
      <c r="H33" s="229"/>
      <c r="I33" s="216"/>
    </row>
    <row r="34" spans="1:13" hidden="1" x14ac:dyDescent="0.25">
      <c r="A34" s="226"/>
      <c r="B34" s="228"/>
      <c r="C34" s="227"/>
      <c r="D34" s="226"/>
      <c r="E34" s="220"/>
      <c r="F34" s="220"/>
      <c r="G34" s="225"/>
      <c r="H34" s="220"/>
      <c r="I34" s="217"/>
    </row>
    <row r="35" spans="1:13" x14ac:dyDescent="0.25">
      <c r="A35" s="226"/>
      <c r="B35" s="226"/>
      <c r="C35" s="227"/>
      <c r="D35" s="226"/>
      <c r="E35" s="220"/>
      <c r="F35" s="220"/>
      <c r="G35" s="225"/>
      <c r="H35" s="220"/>
      <c r="J35" s="216"/>
      <c r="K35" s="216"/>
      <c r="L35" s="216"/>
    </row>
    <row r="36" spans="1:13" x14ac:dyDescent="0.25">
      <c r="A36" s="226"/>
      <c r="B36" s="226"/>
      <c r="C36" s="227"/>
      <c r="D36" s="226"/>
      <c r="E36" s="220"/>
      <c r="F36" s="220"/>
      <c r="G36" s="225"/>
      <c r="H36" s="220"/>
      <c r="J36" s="216"/>
      <c r="K36" s="216"/>
      <c r="L36" s="216"/>
    </row>
    <row r="37" spans="1:13" x14ac:dyDescent="0.25">
      <c r="A37" s="893" t="s">
        <v>109</v>
      </c>
      <c r="B37" s="894"/>
      <c r="C37" s="894"/>
      <c r="D37" s="895"/>
      <c r="E37" s="220">
        <f>SUM(E30:E36)</f>
        <v>729969.60549076681</v>
      </c>
      <c r="F37" s="220">
        <f>SUM(F30:F36)</f>
        <v>727356.66199292592</v>
      </c>
      <c r="G37" s="220" t="e">
        <f>SUM(G30:G36)</f>
        <v>#REF!</v>
      </c>
      <c r="H37" s="220">
        <f>SUM(H30:H36)</f>
        <v>1457326.2674836928</v>
      </c>
      <c r="I37" s="224"/>
      <c r="J37" s="216"/>
      <c r="K37" s="223"/>
      <c r="L37" s="222"/>
      <c r="M37" s="221"/>
    </row>
    <row r="38" spans="1:13" x14ac:dyDescent="0.25">
      <c r="A38" s="893" t="s">
        <v>50</v>
      </c>
      <c r="B38" s="894"/>
      <c r="C38" s="894"/>
      <c r="D38" s="895"/>
      <c r="E38" s="220"/>
      <c r="F38" s="220"/>
      <c r="G38" s="219"/>
      <c r="H38" s="218">
        <f>ROUND(H37*0.18,2)</f>
        <v>262318.73</v>
      </c>
      <c r="J38" s="216"/>
      <c r="K38" s="216"/>
      <c r="L38" s="216"/>
    </row>
    <row r="39" spans="1:13" x14ac:dyDescent="0.25">
      <c r="A39" s="893" t="s">
        <v>108</v>
      </c>
      <c r="B39" s="894"/>
      <c r="C39" s="894"/>
      <c r="D39" s="895"/>
      <c r="E39" s="220"/>
      <c r="F39" s="220"/>
      <c r="G39" s="219"/>
      <c r="H39" s="218">
        <f>H37+H38</f>
        <v>1719644.9974836928</v>
      </c>
      <c r="J39" s="216"/>
      <c r="K39" s="217"/>
      <c r="L39" s="216"/>
    </row>
    <row r="40" spans="1:13" ht="15.75" x14ac:dyDescent="0.25">
      <c r="A40" s="904"/>
      <c r="B40" s="904"/>
      <c r="C40" s="904"/>
      <c r="D40" s="904"/>
      <c r="E40" s="904"/>
      <c r="F40" s="904"/>
      <c r="G40" s="904"/>
      <c r="H40" s="904"/>
      <c r="J40" s="216"/>
      <c r="K40" s="216"/>
      <c r="L40" s="216"/>
    </row>
    <row r="41" spans="1:13" x14ac:dyDescent="0.25">
      <c r="A41" s="905"/>
      <c r="B41" s="905"/>
      <c r="C41" s="905"/>
      <c r="D41" s="905"/>
      <c r="E41" s="905"/>
      <c r="F41" s="213"/>
      <c r="G41" s="213"/>
      <c r="H41" s="213"/>
    </row>
    <row r="45" spans="1:13" x14ac:dyDescent="0.25">
      <c r="A45" s="213"/>
      <c r="B45" s="213"/>
      <c r="C45" s="213"/>
      <c r="D45" s="213"/>
      <c r="E45" s="213"/>
      <c r="F45" s="213"/>
      <c r="G45" s="213"/>
      <c r="H45" s="213"/>
    </row>
    <row r="46" spans="1:13" x14ac:dyDescent="0.25">
      <c r="A46" s="213"/>
      <c r="B46" s="215"/>
      <c r="C46" s="213"/>
      <c r="D46" s="215"/>
      <c r="E46" s="213"/>
      <c r="F46" s="213"/>
      <c r="G46" s="213"/>
      <c r="H46" s="213"/>
    </row>
    <row r="47" spans="1:13" x14ac:dyDescent="0.25">
      <c r="A47" s="213"/>
      <c r="B47" s="214"/>
      <c r="C47" s="213"/>
      <c r="D47" s="886"/>
      <c r="E47" s="886"/>
      <c r="F47" s="886"/>
      <c r="G47" s="213"/>
      <c r="H47" s="213"/>
    </row>
  </sheetData>
  <mergeCells count="29">
    <mergeCell ref="A38:D38"/>
    <mergeCell ref="A39:D39"/>
    <mergeCell ref="A40:H40"/>
    <mergeCell ref="A41:E41"/>
    <mergeCell ref="D47:F47"/>
    <mergeCell ref="A13:H13"/>
    <mergeCell ref="A37:D37"/>
    <mergeCell ref="A14:A15"/>
    <mergeCell ref="B14:B15"/>
    <mergeCell ref="C14:C15"/>
    <mergeCell ref="D14:D15"/>
    <mergeCell ref="E14:H14"/>
    <mergeCell ref="A16:H16"/>
    <mergeCell ref="A24:D24"/>
    <mergeCell ref="B25:F25"/>
    <mergeCell ref="B26:F26"/>
    <mergeCell ref="B27:F27"/>
    <mergeCell ref="A28:H28"/>
    <mergeCell ref="A7:H7"/>
    <mergeCell ref="A8:H8"/>
    <mergeCell ref="A9:H9"/>
    <mergeCell ref="A10:F10"/>
    <mergeCell ref="A11:F11"/>
    <mergeCell ref="A1:C1"/>
    <mergeCell ref="E1:H1"/>
    <mergeCell ref="A2:C5"/>
    <mergeCell ref="E2:H5"/>
    <mergeCell ref="A6:C6"/>
    <mergeCell ref="E6:H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25" zoomScaleNormal="100" zoomScaleSheetLayoutView="100" workbookViewId="0">
      <selection activeCell="A25" sqref="A25:D25"/>
    </sheetView>
  </sheetViews>
  <sheetFormatPr defaultRowHeight="15" x14ac:dyDescent="0.25"/>
  <cols>
    <col min="1" max="1" width="3.42578125" style="647" customWidth="1"/>
    <col min="2" max="2" width="20.85546875" style="647" customWidth="1"/>
    <col min="3" max="3" width="36.42578125" style="647" customWidth="1"/>
    <col min="4" max="4" width="33.5703125" style="647" customWidth="1"/>
    <col min="5" max="5" width="13.7109375" style="647" customWidth="1"/>
    <col min="6" max="6" width="1" style="647" hidden="1" customWidth="1"/>
    <col min="7" max="8" width="11.42578125" style="647" bestFit="1" customWidth="1"/>
    <col min="9" max="256" width="9.140625" style="647"/>
    <col min="257" max="257" width="3.42578125" style="647" customWidth="1"/>
    <col min="258" max="258" width="20.85546875" style="647" customWidth="1"/>
    <col min="259" max="259" width="36.42578125" style="647" customWidth="1"/>
    <col min="260" max="260" width="33.5703125" style="647" customWidth="1"/>
    <col min="261" max="261" width="13.7109375" style="647" customWidth="1"/>
    <col min="262" max="262" width="0" style="647" hidden="1" customWidth="1"/>
    <col min="263" max="264" width="11.42578125" style="647" bestFit="1" customWidth="1"/>
    <col min="265" max="512" width="9.140625" style="647"/>
    <col min="513" max="513" width="3.42578125" style="647" customWidth="1"/>
    <col min="514" max="514" width="20.85546875" style="647" customWidth="1"/>
    <col min="515" max="515" width="36.42578125" style="647" customWidth="1"/>
    <col min="516" max="516" width="33.5703125" style="647" customWidth="1"/>
    <col min="517" max="517" width="13.7109375" style="647" customWidth="1"/>
    <col min="518" max="518" width="0" style="647" hidden="1" customWidth="1"/>
    <col min="519" max="520" width="11.42578125" style="647" bestFit="1" customWidth="1"/>
    <col min="521" max="768" width="9.140625" style="647"/>
    <col min="769" max="769" width="3.42578125" style="647" customWidth="1"/>
    <col min="770" max="770" width="20.85546875" style="647" customWidth="1"/>
    <col min="771" max="771" width="36.42578125" style="647" customWidth="1"/>
    <col min="772" max="772" width="33.5703125" style="647" customWidth="1"/>
    <col min="773" max="773" width="13.7109375" style="647" customWidth="1"/>
    <col min="774" max="774" width="0" style="647" hidden="1" customWidth="1"/>
    <col min="775" max="776" width="11.42578125" style="647" bestFit="1" customWidth="1"/>
    <col min="777" max="1024" width="9.140625" style="647"/>
    <col min="1025" max="1025" width="3.42578125" style="647" customWidth="1"/>
    <col min="1026" max="1026" width="20.85546875" style="647" customWidth="1"/>
    <col min="1027" max="1027" width="36.42578125" style="647" customWidth="1"/>
    <col min="1028" max="1028" width="33.5703125" style="647" customWidth="1"/>
    <col min="1029" max="1029" width="13.7109375" style="647" customWidth="1"/>
    <col min="1030" max="1030" width="0" style="647" hidden="1" customWidth="1"/>
    <col min="1031" max="1032" width="11.42578125" style="647" bestFit="1" customWidth="1"/>
    <col min="1033" max="1280" width="9.140625" style="647"/>
    <col min="1281" max="1281" width="3.42578125" style="647" customWidth="1"/>
    <col min="1282" max="1282" width="20.85546875" style="647" customWidth="1"/>
    <col min="1283" max="1283" width="36.42578125" style="647" customWidth="1"/>
    <col min="1284" max="1284" width="33.5703125" style="647" customWidth="1"/>
    <col min="1285" max="1285" width="13.7109375" style="647" customWidth="1"/>
    <col min="1286" max="1286" width="0" style="647" hidden="1" customWidth="1"/>
    <col min="1287" max="1288" width="11.42578125" style="647" bestFit="1" customWidth="1"/>
    <col min="1289" max="1536" width="9.140625" style="647"/>
    <col min="1537" max="1537" width="3.42578125" style="647" customWidth="1"/>
    <col min="1538" max="1538" width="20.85546875" style="647" customWidth="1"/>
    <col min="1539" max="1539" width="36.42578125" style="647" customWidth="1"/>
    <col min="1540" max="1540" width="33.5703125" style="647" customWidth="1"/>
    <col min="1541" max="1541" width="13.7109375" style="647" customWidth="1"/>
    <col min="1542" max="1542" width="0" style="647" hidden="1" customWidth="1"/>
    <col min="1543" max="1544" width="11.42578125" style="647" bestFit="1" customWidth="1"/>
    <col min="1545" max="1792" width="9.140625" style="647"/>
    <col min="1793" max="1793" width="3.42578125" style="647" customWidth="1"/>
    <col min="1794" max="1794" width="20.85546875" style="647" customWidth="1"/>
    <col min="1795" max="1795" width="36.42578125" style="647" customWidth="1"/>
    <col min="1796" max="1796" width="33.5703125" style="647" customWidth="1"/>
    <col min="1797" max="1797" width="13.7109375" style="647" customWidth="1"/>
    <col min="1798" max="1798" width="0" style="647" hidden="1" customWidth="1"/>
    <col min="1799" max="1800" width="11.42578125" style="647" bestFit="1" customWidth="1"/>
    <col min="1801" max="2048" width="9.140625" style="647"/>
    <col min="2049" max="2049" width="3.42578125" style="647" customWidth="1"/>
    <col min="2050" max="2050" width="20.85546875" style="647" customWidth="1"/>
    <col min="2051" max="2051" width="36.42578125" style="647" customWidth="1"/>
    <col min="2052" max="2052" width="33.5703125" style="647" customWidth="1"/>
    <col min="2053" max="2053" width="13.7109375" style="647" customWidth="1"/>
    <col min="2054" max="2054" width="0" style="647" hidden="1" customWidth="1"/>
    <col min="2055" max="2056" width="11.42578125" style="647" bestFit="1" customWidth="1"/>
    <col min="2057" max="2304" width="9.140625" style="647"/>
    <col min="2305" max="2305" width="3.42578125" style="647" customWidth="1"/>
    <col min="2306" max="2306" width="20.85546875" style="647" customWidth="1"/>
    <col min="2307" max="2307" width="36.42578125" style="647" customWidth="1"/>
    <col min="2308" max="2308" width="33.5703125" style="647" customWidth="1"/>
    <col min="2309" max="2309" width="13.7109375" style="647" customWidth="1"/>
    <col min="2310" max="2310" width="0" style="647" hidden="1" customWidth="1"/>
    <col min="2311" max="2312" width="11.42578125" style="647" bestFit="1" customWidth="1"/>
    <col min="2313" max="2560" width="9.140625" style="647"/>
    <col min="2561" max="2561" width="3.42578125" style="647" customWidth="1"/>
    <col min="2562" max="2562" width="20.85546875" style="647" customWidth="1"/>
    <col min="2563" max="2563" width="36.42578125" style="647" customWidth="1"/>
    <col min="2564" max="2564" width="33.5703125" style="647" customWidth="1"/>
    <col min="2565" max="2565" width="13.7109375" style="647" customWidth="1"/>
    <col min="2566" max="2566" width="0" style="647" hidden="1" customWidth="1"/>
    <col min="2567" max="2568" width="11.42578125" style="647" bestFit="1" customWidth="1"/>
    <col min="2569" max="2816" width="9.140625" style="647"/>
    <col min="2817" max="2817" width="3.42578125" style="647" customWidth="1"/>
    <col min="2818" max="2818" width="20.85546875" style="647" customWidth="1"/>
    <col min="2819" max="2819" width="36.42578125" style="647" customWidth="1"/>
    <col min="2820" max="2820" width="33.5703125" style="647" customWidth="1"/>
    <col min="2821" max="2821" width="13.7109375" style="647" customWidth="1"/>
    <col min="2822" max="2822" width="0" style="647" hidden="1" customWidth="1"/>
    <col min="2823" max="2824" width="11.42578125" style="647" bestFit="1" customWidth="1"/>
    <col min="2825" max="3072" width="9.140625" style="647"/>
    <col min="3073" max="3073" width="3.42578125" style="647" customWidth="1"/>
    <col min="3074" max="3074" width="20.85546875" style="647" customWidth="1"/>
    <col min="3075" max="3075" width="36.42578125" style="647" customWidth="1"/>
    <col min="3076" max="3076" width="33.5703125" style="647" customWidth="1"/>
    <col min="3077" max="3077" width="13.7109375" style="647" customWidth="1"/>
    <col min="3078" max="3078" width="0" style="647" hidden="1" customWidth="1"/>
    <col min="3079" max="3080" width="11.42578125" style="647" bestFit="1" customWidth="1"/>
    <col min="3081" max="3328" width="9.140625" style="647"/>
    <col min="3329" max="3329" width="3.42578125" style="647" customWidth="1"/>
    <col min="3330" max="3330" width="20.85546875" style="647" customWidth="1"/>
    <col min="3331" max="3331" width="36.42578125" style="647" customWidth="1"/>
    <col min="3332" max="3332" width="33.5703125" style="647" customWidth="1"/>
    <col min="3333" max="3333" width="13.7109375" style="647" customWidth="1"/>
    <col min="3334" max="3334" width="0" style="647" hidden="1" customWidth="1"/>
    <col min="3335" max="3336" width="11.42578125" style="647" bestFit="1" customWidth="1"/>
    <col min="3337" max="3584" width="9.140625" style="647"/>
    <col min="3585" max="3585" width="3.42578125" style="647" customWidth="1"/>
    <col min="3586" max="3586" width="20.85546875" style="647" customWidth="1"/>
    <col min="3587" max="3587" width="36.42578125" style="647" customWidth="1"/>
    <col min="3588" max="3588" width="33.5703125" style="647" customWidth="1"/>
    <col min="3589" max="3589" width="13.7109375" style="647" customWidth="1"/>
    <col min="3590" max="3590" width="0" style="647" hidden="1" customWidth="1"/>
    <col min="3591" max="3592" width="11.42578125" style="647" bestFit="1" customWidth="1"/>
    <col min="3593" max="3840" width="9.140625" style="647"/>
    <col min="3841" max="3841" width="3.42578125" style="647" customWidth="1"/>
    <col min="3842" max="3842" width="20.85546875" style="647" customWidth="1"/>
    <col min="3843" max="3843" width="36.42578125" style="647" customWidth="1"/>
    <col min="3844" max="3844" width="33.5703125" style="647" customWidth="1"/>
    <col min="3845" max="3845" width="13.7109375" style="647" customWidth="1"/>
    <col min="3846" max="3846" width="0" style="647" hidden="1" customWidth="1"/>
    <col min="3847" max="3848" width="11.42578125" style="647" bestFit="1" customWidth="1"/>
    <col min="3849" max="4096" width="9.140625" style="647"/>
    <col min="4097" max="4097" width="3.42578125" style="647" customWidth="1"/>
    <col min="4098" max="4098" width="20.85546875" style="647" customWidth="1"/>
    <col min="4099" max="4099" width="36.42578125" style="647" customWidth="1"/>
    <col min="4100" max="4100" width="33.5703125" style="647" customWidth="1"/>
    <col min="4101" max="4101" width="13.7109375" style="647" customWidth="1"/>
    <col min="4102" max="4102" width="0" style="647" hidden="1" customWidth="1"/>
    <col min="4103" max="4104" width="11.42578125" style="647" bestFit="1" customWidth="1"/>
    <col min="4105" max="4352" width="9.140625" style="647"/>
    <col min="4353" max="4353" width="3.42578125" style="647" customWidth="1"/>
    <col min="4354" max="4354" width="20.85546875" style="647" customWidth="1"/>
    <col min="4355" max="4355" width="36.42578125" style="647" customWidth="1"/>
    <col min="4356" max="4356" width="33.5703125" style="647" customWidth="1"/>
    <col min="4357" max="4357" width="13.7109375" style="647" customWidth="1"/>
    <col min="4358" max="4358" width="0" style="647" hidden="1" customWidth="1"/>
    <col min="4359" max="4360" width="11.42578125" style="647" bestFit="1" customWidth="1"/>
    <col min="4361" max="4608" width="9.140625" style="647"/>
    <col min="4609" max="4609" width="3.42578125" style="647" customWidth="1"/>
    <col min="4610" max="4610" width="20.85546875" style="647" customWidth="1"/>
    <col min="4611" max="4611" width="36.42578125" style="647" customWidth="1"/>
    <col min="4612" max="4612" width="33.5703125" style="647" customWidth="1"/>
    <col min="4613" max="4613" width="13.7109375" style="647" customWidth="1"/>
    <col min="4614" max="4614" width="0" style="647" hidden="1" customWidth="1"/>
    <col min="4615" max="4616" width="11.42578125" style="647" bestFit="1" customWidth="1"/>
    <col min="4617" max="4864" width="9.140625" style="647"/>
    <col min="4865" max="4865" width="3.42578125" style="647" customWidth="1"/>
    <col min="4866" max="4866" width="20.85546875" style="647" customWidth="1"/>
    <col min="4867" max="4867" width="36.42578125" style="647" customWidth="1"/>
    <col min="4868" max="4868" width="33.5703125" style="647" customWidth="1"/>
    <col min="4869" max="4869" width="13.7109375" style="647" customWidth="1"/>
    <col min="4870" max="4870" width="0" style="647" hidden="1" customWidth="1"/>
    <col min="4871" max="4872" width="11.42578125" style="647" bestFit="1" customWidth="1"/>
    <col min="4873" max="5120" width="9.140625" style="647"/>
    <col min="5121" max="5121" width="3.42578125" style="647" customWidth="1"/>
    <col min="5122" max="5122" width="20.85546875" style="647" customWidth="1"/>
    <col min="5123" max="5123" width="36.42578125" style="647" customWidth="1"/>
    <col min="5124" max="5124" width="33.5703125" style="647" customWidth="1"/>
    <col min="5125" max="5125" width="13.7109375" style="647" customWidth="1"/>
    <col min="5126" max="5126" width="0" style="647" hidden="1" customWidth="1"/>
    <col min="5127" max="5128" width="11.42578125" style="647" bestFit="1" customWidth="1"/>
    <col min="5129" max="5376" width="9.140625" style="647"/>
    <col min="5377" max="5377" width="3.42578125" style="647" customWidth="1"/>
    <col min="5378" max="5378" width="20.85546875" style="647" customWidth="1"/>
    <col min="5379" max="5379" width="36.42578125" style="647" customWidth="1"/>
    <col min="5380" max="5380" width="33.5703125" style="647" customWidth="1"/>
    <col min="5381" max="5381" width="13.7109375" style="647" customWidth="1"/>
    <col min="5382" max="5382" width="0" style="647" hidden="1" customWidth="1"/>
    <col min="5383" max="5384" width="11.42578125" style="647" bestFit="1" customWidth="1"/>
    <col min="5385" max="5632" width="9.140625" style="647"/>
    <col min="5633" max="5633" width="3.42578125" style="647" customWidth="1"/>
    <col min="5634" max="5634" width="20.85546875" style="647" customWidth="1"/>
    <col min="5635" max="5635" width="36.42578125" style="647" customWidth="1"/>
    <col min="5636" max="5636" width="33.5703125" style="647" customWidth="1"/>
    <col min="5637" max="5637" width="13.7109375" style="647" customWidth="1"/>
    <col min="5638" max="5638" width="0" style="647" hidden="1" customWidth="1"/>
    <col min="5639" max="5640" width="11.42578125" style="647" bestFit="1" customWidth="1"/>
    <col min="5641" max="5888" width="9.140625" style="647"/>
    <col min="5889" max="5889" width="3.42578125" style="647" customWidth="1"/>
    <col min="5890" max="5890" width="20.85546875" style="647" customWidth="1"/>
    <col min="5891" max="5891" width="36.42578125" style="647" customWidth="1"/>
    <col min="5892" max="5892" width="33.5703125" style="647" customWidth="1"/>
    <col min="5893" max="5893" width="13.7109375" style="647" customWidth="1"/>
    <col min="5894" max="5894" width="0" style="647" hidden="1" customWidth="1"/>
    <col min="5895" max="5896" width="11.42578125" style="647" bestFit="1" customWidth="1"/>
    <col min="5897" max="6144" width="9.140625" style="647"/>
    <col min="6145" max="6145" width="3.42578125" style="647" customWidth="1"/>
    <col min="6146" max="6146" width="20.85546875" style="647" customWidth="1"/>
    <col min="6147" max="6147" width="36.42578125" style="647" customWidth="1"/>
    <col min="6148" max="6148" width="33.5703125" style="647" customWidth="1"/>
    <col min="6149" max="6149" width="13.7109375" style="647" customWidth="1"/>
    <col min="6150" max="6150" width="0" style="647" hidden="1" customWidth="1"/>
    <col min="6151" max="6152" width="11.42578125" style="647" bestFit="1" customWidth="1"/>
    <col min="6153" max="6400" width="9.140625" style="647"/>
    <col min="6401" max="6401" width="3.42578125" style="647" customWidth="1"/>
    <col min="6402" max="6402" width="20.85546875" style="647" customWidth="1"/>
    <col min="6403" max="6403" width="36.42578125" style="647" customWidth="1"/>
    <col min="6404" max="6404" width="33.5703125" style="647" customWidth="1"/>
    <col min="6405" max="6405" width="13.7109375" style="647" customWidth="1"/>
    <col min="6406" max="6406" width="0" style="647" hidden="1" customWidth="1"/>
    <col min="6407" max="6408" width="11.42578125" style="647" bestFit="1" customWidth="1"/>
    <col min="6409" max="6656" width="9.140625" style="647"/>
    <col min="6657" max="6657" width="3.42578125" style="647" customWidth="1"/>
    <col min="6658" max="6658" width="20.85546875" style="647" customWidth="1"/>
    <col min="6659" max="6659" width="36.42578125" style="647" customWidth="1"/>
    <col min="6660" max="6660" width="33.5703125" style="647" customWidth="1"/>
    <col min="6661" max="6661" width="13.7109375" style="647" customWidth="1"/>
    <col min="6662" max="6662" width="0" style="647" hidden="1" customWidth="1"/>
    <col min="6663" max="6664" width="11.42578125" style="647" bestFit="1" customWidth="1"/>
    <col min="6665" max="6912" width="9.140625" style="647"/>
    <col min="6913" max="6913" width="3.42578125" style="647" customWidth="1"/>
    <col min="6914" max="6914" width="20.85546875" style="647" customWidth="1"/>
    <col min="6915" max="6915" width="36.42578125" style="647" customWidth="1"/>
    <col min="6916" max="6916" width="33.5703125" style="647" customWidth="1"/>
    <col min="6917" max="6917" width="13.7109375" style="647" customWidth="1"/>
    <col min="6918" max="6918" width="0" style="647" hidden="1" customWidth="1"/>
    <col min="6919" max="6920" width="11.42578125" style="647" bestFit="1" customWidth="1"/>
    <col min="6921" max="7168" width="9.140625" style="647"/>
    <col min="7169" max="7169" width="3.42578125" style="647" customWidth="1"/>
    <col min="7170" max="7170" width="20.85546875" style="647" customWidth="1"/>
    <col min="7171" max="7171" width="36.42578125" style="647" customWidth="1"/>
    <col min="7172" max="7172" width="33.5703125" style="647" customWidth="1"/>
    <col min="7173" max="7173" width="13.7109375" style="647" customWidth="1"/>
    <col min="7174" max="7174" width="0" style="647" hidden="1" customWidth="1"/>
    <col min="7175" max="7176" width="11.42578125" style="647" bestFit="1" customWidth="1"/>
    <col min="7177" max="7424" width="9.140625" style="647"/>
    <col min="7425" max="7425" width="3.42578125" style="647" customWidth="1"/>
    <col min="7426" max="7426" width="20.85546875" style="647" customWidth="1"/>
    <col min="7427" max="7427" width="36.42578125" style="647" customWidth="1"/>
    <col min="7428" max="7428" width="33.5703125" style="647" customWidth="1"/>
    <col min="7429" max="7429" width="13.7109375" style="647" customWidth="1"/>
    <col min="7430" max="7430" width="0" style="647" hidden="1" customWidth="1"/>
    <col min="7431" max="7432" width="11.42578125" style="647" bestFit="1" customWidth="1"/>
    <col min="7433" max="7680" width="9.140625" style="647"/>
    <col min="7681" max="7681" width="3.42578125" style="647" customWidth="1"/>
    <col min="7682" max="7682" width="20.85546875" style="647" customWidth="1"/>
    <col min="7683" max="7683" width="36.42578125" style="647" customWidth="1"/>
    <col min="7684" max="7684" width="33.5703125" style="647" customWidth="1"/>
    <col min="7685" max="7685" width="13.7109375" style="647" customWidth="1"/>
    <col min="7686" max="7686" width="0" style="647" hidden="1" customWidth="1"/>
    <col min="7687" max="7688" width="11.42578125" style="647" bestFit="1" customWidth="1"/>
    <col min="7689" max="7936" width="9.140625" style="647"/>
    <col min="7937" max="7937" width="3.42578125" style="647" customWidth="1"/>
    <col min="7938" max="7938" width="20.85546875" style="647" customWidth="1"/>
    <col min="7939" max="7939" width="36.42578125" style="647" customWidth="1"/>
    <col min="7940" max="7940" width="33.5703125" style="647" customWidth="1"/>
    <col min="7941" max="7941" width="13.7109375" style="647" customWidth="1"/>
    <col min="7942" max="7942" width="0" style="647" hidden="1" customWidth="1"/>
    <col min="7943" max="7944" width="11.42578125" style="647" bestFit="1" customWidth="1"/>
    <col min="7945" max="8192" width="9.140625" style="647"/>
    <col min="8193" max="8193" width="3.42578125" style="647" customWidth="1"/>
    <col min="8194" max="8194" width="20.85546875" style="647" customWidth="1"/>
    <col min="8195" max="8195" width="36.42578125" style="647" customWidth="1"/>
    <col min="8196" max="8196" width="33.5703125" style="647" customWidth="1"/>
    <col min="8197" max="8197" width="13.7109375" style="647" customWidth="1"/>
    <col min="8198" max="8198" width="0" style="647" hidden="1" customWidth="1"/>
    <col min="8199" max="8200" width="11.42578125" style="647" bestFit="1" customWidth="1"/>
    <col min="8201" max="8448" width="9.140625" style="647"/>
    <col min="8449" max="8449" width="3.42578125" style="647" customWidth="1"/>
    <col min="8450" max="8450" width="20.85546875" style="647" customWidth="1"/>
    <col min="8451" max="8451" width="36.42578125" style="647" customWidth="1"/>
    <col min="8452" max="8452" width="33.5703125" style="647" customWidth="1"/>
    <col min="8453" max="8453" width="13.7109375" style="647" customWidth="1"/>
    <col min="8454" max="8454" width="0" style="647" hidden="1" customWidth="1"/>
    <col min="8455" max="8456" width="11.42578125" style="647" bestFit="1" customWidth="1"/>
    <col min="8457" max="8704" width="9.140625" style="647"/>
    <col min="8705" max="8705" width="3.42578125" style="647" customWidth="1"/>
    <col min="8706" max="8706" width="20.85546875" style="647" customWidth="1"/>
    <col min="8707" max="8707" width="36.42578125" style="647" customWidth="1"/>
    <col min="8708" max="8708" width="33.5703125" style="647" customWidth="1"/>
    <col min="8709" max="8709" width="13.7109375" style="647" customWidth="1"/>
    <col min="8710" max="8710" width="0" style="647" hidden="1" customWidth="1"/>
    <col min="8711" max="8712" width="11.42578125" style="647" bestFit="1" customWidth="1"/>
    <col min="8713" max="8960" width="9.140625" style="647"/>
    <col min="8961" max="8961" width="3.42578125" style="647" customWidth="1"/>
    <col min="8962" max="8962" width="20.85546875" style="647" customWidth="1"/>
    <col min="8963" max="8963" width="36.42578125" style="647" customWidth="1"/>
    <col min="8964" max="8964" width="33.5703125" style="647" customWidth="1"/>
    <col min="8965" max="8965" width="13.7109375" style="647" customWidth="1"/>
    <col min="8966" max="8966" width="0" style="647" hidden="1" customWidth="1"/>
    <col min="8967" max="8968" width="11.42578125" style="647" bestFit="1" customWidth="1"/>
    <col min="8969" max="9216" width="9.140625" style="647"/>
    <col min="9217" max="9217" width="3.42578125" style="647" customWidth="1"/>
    <col min="9218" max="9218" width="20.85546875" style="647" customWidth="1"/>
    <col min="9219" max="9219" width="36.42578125" style="647" customWidth="1"/>
    <col min="9220" max="9220" width="33.5703125" style="647" customWidth="1"/>
    <col min="9221" max="9221" width="13.7109375" style="647" customWidth="1"/>
    <col min="9222" max="9222" width="0" style="647" hidden="1" customWidth="1"/>
    <col min="9223" max="9224" width="11.42578125" style="647" bestFit="1" customWidth="1"/>
    <col min="9225" max="9472" width="9.140625" style="647"/>
    <col min="9473" max="9473" width="3.42578125" style="647" customWidth="1"/>
    <col min="9474" max="9474" width="20.85546875" style="647" customWidth="1"/>
    <col min="9475" max="9475" width="36.42578125" style="647" customWidth="1"/>
    <col min="9476" max="9476" width="33.5703125" style="647" customWidth="1"/>
    <col min="9477" max="9477" width="13.7109375" style="647" customWidth="1"/>
    <col min="9478" max="9478" width="0" style="647" hidden="1" customWidth="1"/>
    <col min="9479" max="9480" width="11.42578125" style="647" bestFit="1" customWidth="1"/>
    <col min="9481" max="9728" width="9.140625" style="647"/>
    <col min="9729" max="9729" width="3.42578125" style="647" customWidth="1"/>
    <col min="9730" max="9730" width="20.85546875" style="647" customWidth="1"/>
    <col min="9731" max="9731" width="36.42578125" style="647" customWidth="1"/>
    <col min="9732" max="9732" width="33.5703125" style="647" customWidth="1"/>
    <col min="9733" max="9733" width="13.7109375" style="647" customWidth="1"/>
    <col min="9734" max="9734" width="0" style="647" hidden="1" customWidth="1"/>
    <col min="9735" max="9736" width="11.42578125" style="647" bestFit="1" customWidth="1"/>
    <col min="9737" max="9984" width="9.140625" style="647"/>
    <col min="9985" max="9985" width="3.42578125" style="647" customWidth="1"/>
    <col min="9986" max="9986" width="20.85546875" style="647" customWidth="1"/>
    <col min="9987" max="9987" width="36.42578125" style="647" customWidth="1"/>
    <col min="9988" max="9988" width="33.5703125" style="647" customWidth="1"/>
    <col min="9989" max="9989" width="13.7109375" style="647" customWidth="1"/>
    <col min="9990" max="9990" width="0" style="647" hidden="1" customWidth="1"/>
    <col min="9991" max="9992" width="11.42578125" style="647" bestFit="1" customWidth="1"/>
    <col min="9993" max="10240" width="9.140625" style="647"/>
    <col min="10241" max="10241" width="3.42578125" style="647" customWidth="1"/>
    <col min="10242" max="10242" width="20.85546875" style="647" customWidth="1"/>
    <col min="10243" max="10243" width="36.42578125" style="647" customWidth="1"/>
    <col min="10244" max="10244" width="33.5703125" style="647" customWidth="1"/>
    <col min="10245" max="10245" width="13.7109375" style="647" customWidth="1"/>
    <col min="10246" max="10246" width="0" style="647" hidden="1" customWidth="1"/>
    <col min="10247" max="10248" width="11.42578125" style="647" bestFit="1" customWidth="1"/>
    <col min="10249" max="10496" width="9.140625" style="647"/>
    <col min="10497" max="10497" width="3.42578125" style="647" customWidth="1"/>
    <col min="10498" max="10498" width="20.85546875" style="647" customWidth="1"/>
    <col min="10499" max="10499" width="36.42578125" style="647" customWidth="1"/>
    <col min="10500" max="10500" width="33.5703125" style="647" customWidth="1"/>
    <col min="10501" max="10501" width="13.7109375" style="647" customWidth="1"/>
    <col min="10502" max="10502" width="0" style="647" hidden="1" customWidth="1"/>
    <col min="10503" max="10504" width="11.42578125" style="647" bestFit="1" customWidth="1"/>
    <col min="10505" max="10752" width="9.140625" style="647"/>
    <col min="10753" max="10753" width="3.42578125" style="647" customWidth="1"/>
    <col min="10754" max="10754" width="20.85546875" style="647" customWidth="1"/>
    <col min="10755" max="10755" width="36.42578125" style="647" customWidth="1"/>
    <col min="10756" max="10756" width="33.5703125" style="647" customWidth="1"/>
    <col min="10757" max="10757" width="13.7109375" style="647" customWidth="1"/>
    <col min="10758" max="10758" width="0" style="647" hidden="1" customWidth="1"/>
    <col min="10759" max="10760" width="11.42578125" style="647" bestFit="1" customWidth="1"/>
    <col min="10761" max="11008" width="9.140625" style="647"/>
    <col min="11009" max="11009" width="3.42578125" style="647" customWidth="1"/>
    <col min="11010" max="11010" width="20.85546875" style="647" customWidth="1"/>
    <col min="11011" max="11011" width="36.42578125" style="647" customWidth="1"/>
    <col min="11012" max="11012" width="33.5703125" style="647" customWidth="1"/>
    <col min="11013" max="11013" width="13.7109375" style="647" customWidth="1"/>
    <col min="11014" max="11014" width="0" style="647" hidden="1" customWidth="1"/>
    <col min="11015" max="11016" width="11.42578125" style="647" bestFit="1" customWidth="1"/>
    <col min="11017" max="11264" width="9.140625" style="647"/>
    <col min="11265" max="11265" width="3.42578125" style="647" customWidth="1"/>
    <col min="11266" max="11266" width="20.85546875" style="647" customWidth="1"/>
    <col min="11267" max="11267" width="36.42578125" style="647" customWidth="1"/>
    <col min="11268" max="11268" width="33.5703125" style="647" customWidth="1"/>
    <col min="11269" max="11269" width="13.7109375" style="647" customWidth="1"/>
    <col min="11270" max="11270" width="0" style="647" hidden="1" customWidth="1"/>
    <col min="11271" max="11272" width="11.42578125" style="647" bestFit="1" customWidth="1"/>
    <col min="11273" max="11520" width="9.140625" style="647"/>
    <col min="11521" max="11521" width="3.42578125" style="647" customWidth="1"/>
    <col min="11522" max="11522" width="20.85546875" style="647" customWidth="1"/>
    <col min="11523" max="11523" width="36.42578125" style="647" customWidth="1"/>
    <col min="11524" max="11524" width="33.5703125" style="647" customWidth="1"/>
    <col min="11525" max="11525" width="13.7109375" style="647" customWidth="1"/>
    <col min="11526" max="11526" width="0" style="647" hidden="1" customWidth="1"/>
    <col min="11527" max="11528" width="11.42578125" style="647" bestFit="1" customWidth="1"/>
    <col min="11529" max="11776" width="9.140625" style="647"/>
    <col min="11777" max="11777" width="3.42578125" style="647" customWidth="1"/>
    <col min="11778" max="11778" width="20.85546875" style="647" customWidth="1"/>
    <col min="11779" max="11779" width="36.42578125" style="647" customWidth="1"/>
    <col min="11780" max="11780" width="33.5703125" style="647" customWidth="1"/>
    <col min="11781" max="11781" width="13.7109375" style="647" customWidth="1"/>
    <col min="11782" max="11782" width="0" style="647" hidden="1" customWidth="1"/>
    <col min="11783" max="11784" width="11.42578125" style="647" bestFit="1" customWidth="1"/>
    <col min="11785" max="12032" width="9.140625" style="647"/>
    <col min="12033" max="12033" width="3.42578125" style="647" customWidth="1"/>
    <col min="12034" max="12034" width="20.85546875" style="647" customWidth="1"/>
    <col min="12035" max="12035" width="36.42578125" style="647" customWidth="1"/>
    <col min="12036" max="12036" width="33.5703125" style="647" customWidth="1"/>
    <col min="12037" max="12037" width="13.7109375" style="647" customWidth="1"/>
    <col min="12038" max="12038" width="0" style="647" hidden="1" customWidth="1"/>
    <col min="12039" max="12040" width="11.42578125" style="647" bestFit="1" customWidth="1"/>
    <col min="12041" max="12288" width="9.140625" style="647"/>
    <col min="12289" max="12289" width="3.42578125" style="647" customWidth="1"/>
    <col min="12290" max="12290" width="20.85546875" style="647" customWidth="1"/>
    <col min="12291" max="12291" width="36.42578125" style="647" customWidth="1"/>
    <col min="12292" max="12292" width="33.5703125" style="647" customWidth="1"/>
    <col min="12293" max="12293" width="13.7109375" style="647" customWidth="1"/>
    <col min="12294" max="12294" width="0" style="647" hidden="1" customWidth="1"/>
    <col min="12295" max="12296" width="11.42578125" style="647" bestFit="1" customWidth="1"/>
    <col min="12297" max="12544" width="9.140625" style="647"/>
    <col min="12545" max="12545" width="3.42578125" style="647" customWidth="1"/>
    <col min="12546" max="12546" width="20.85546875" style="647" customWidth="1"/>
    <col min="12547" max="12547" width="36.42578125" style="647" customWidth="1"/>
    <col min="12548" max="12548" width="33.5703125" style="647" customWidth="1"/>
    <col min="12549" max="12549" width="13.7109375" style="647" customWidth="1"/>
    <col min="12550" max="12550" width="0" style="647" hidden="1" customWidth="1"/>
    <col min="12551" max="12552" width="11.42578125" style="647" bestFit="1" customWidth="1"/>
    <col min="12553" max="12800" width="9.140625" style="647"/>
    <col min="12801" max="12801" width="3.42578125" style="647" customWidth="1"/>
    <col min="12802" max="12802" width="20.85546875" style="647" customWidth="1"/>
    <col min="12803" max="12803" width="36.42578125" style="647" customWidth="1"/>
    <col min="12804" max="12804" width="33.5703125" style="647" customWidth="1"/>
    <col min="12805" max="12805" width="13.7109375" style="647" customWidth="1"/>
    <col min="12806" max="12806" width="0" style="647" hidden="1" customWidth="1"/>
    <col min="12807" max="12808" width="11.42578125" style="647" bestFit="1" customWidth="1"/>
    <col min="12809" max="13056" width="9.140625" style="647"/>
    <col min="13057" max="13057" width="3.42578125" style="647" customWidth="1"/>
    <col min="13058" max="13058" width="20.85546875" style="647" customWidth="1"/>
    <col min="13059" max="13059" width="36.42578125" style="647" customWidth="1"/>
    <col min="13060" max="13060" width="33.5703125" style="647" customWidth="1"/>
    <col min="13061" max="13061" width="13.7109375" style="647" customWidth="1"/>
    <col min="13062" max="13062" width="0" style="647" hidden="1" customWidth="1"/>
    <col min="13063" max="13064" width="11.42578125" style="647" bestFit="1" customWidth="1"/>
    <col min="13065" max="13312" width="9.140625" style="647"/>
    <col min="13313" max="13313" width="3.42578125" style="647" customWidth="1"/>
    <col min="13314" max="13314" width="20.85546875" style="647" customWidth="1"/>
    <col min="13315" max="13315" width="36.42578125" style="647" customWidth="1"/>
    <col min="13316" max="13316" width="33.5703125" style="647" customWidth="1"/>
    <col min="13317" max="13317" width="13.7109375" style="647" customWidth="1"/>
    <col min="13318" max="13318" width="0" style="647" hidden="1" customWidth="1"/>
    <col min="13319" max="13320" width="11.42578125" style="647" bestFit="1" customWidth="1"/>
    <col min="13321" max="13568" width="9.140625" style="647"/>
    <col min="13569" max="13569" width="3.42578125" style="647" customWidth="1"/>
    <col min="13570" max="13570" width="20.85546875" style="647" customWidth="1"/>
    <col min="13571" max="13571" width="36.42578125" style="647" customWidth="1"/>
    <col min="13572" max="13572" width="33.5703125" style="647" customWidth="1"/>
    <col min="13573" max="13573" width="13.7109375" style="647" customWidth="1"/>
    <col min="13574" max="13574" width="0" style="647" hidden="1" customWidth="1"/>
    <col min="13575" max="13576" width="11.42578125" style="647" bestFit="1" customWidth="1"/>
    <col min="13577" max="13824" width="9.140625" style="647"/>
    <col min="13825" max="13825" width="3.42578125" style="647" customWidth="1"/>
    <col min="13826" max="13826" width="20.85546875" style="647" customWidth="1"/>
    <col min="13827" max="13827" width="36.42578125" style="647" customWidth="1"/>
    <col min="13828" max="13828" width="33.5703125" style="647" customWidth="1"/>
    <col min="13829" max="13829" width="13.7109375" style="647" customWidth="1"/>
    <col min="13830" max="13830" width="0" style="647" hidden="1" customWidth="1"/>
    <col min="13831" max="13832" width="11.42578125" style="647" bestFit="1" customWidth="1"/>
    <col min="13833" max="14080" width="9.140625" style="647"/>
    <col min="14081" max="14081" width="3.42578125" style="647" customWidth="1"/>
    <col min="14082" max="14082" width="20.85546875" style="647" customWidth="1"/>
    <col min="14083" max="14083" width="36.42578125" style="647" customWidth="1"/>
    <col min="14084" max="14084" width="33.5703125" style="647" customWidth="1"/>
    <col min="14085" max="14085" width="13.7109375" style="647" customWidth="1"/>
    <col min="14086" max="14086" width="0" style="647" hidden="1" customWidth="1"/>
    <col min="14087" max="14088" width="11.42578125" style="647" bestFit="1" customWidth="1"/>
    <col min="14089" max="14336" width="9.140625" style="647"/>
    <col min="14337" max="14337" width="3.42578125" style="647" customWidth="1"/>
    <col min="14338" max="14338" width="20.85546875" style="647" customWidth="1"/>
    <col min="14339" max="14339" width="36.42578125" style="647" customWidth="1"/>
    <col min="14340" max="14340" width="33.5703125" style="647" customWidth="1"/>
    <col min="14341" max="14341" width="13.7109375" style="647" customWidth="1"/>
    <col min="14342" max="14342" width="0" style="647" hidden="1" customWidth="1"/>
    <col min="14343" max="14344" width="11.42578125" style="647" bestFit="1" customWidth="1"/>
    <col min="14345" max="14592" width="9.140625" style="647"/>
    <col min="14593" max="14593" width="3.42578125" style="647" customWidth="1"/>
    <col min="14594" max="14594" width="20.85546875" style="647" customWidth="1"/>
    <col min="14595" max="14595" width="36.42578125" style="647" customWidth="1"/>
    <col min="14596" max="14596" width="33.5703125" style="647" customWidth="1"/>
    <col min="14597" max="14597" width="13.7109375" style="647" customWidth="1"/>
    <col min="14598" max="14598" width="0" style="647" hidden="1" customWidth="1"/>
    <col min="14599" max="14600" width="11.42578125" style="647" bestFit="1" customWidth="1"/>
    <col min="14601" max="14848" width="9.140625" style="647"/>
    <col min="14849" max="14849" width="3.42578125" style="647" customWidth="1"/>
    <col min="14850" max="14850" width="20.85546875" style="647" customWidth="1"/>
    <col min="14851" max="14851" width="36.42578125" style="647" customWidth="1"/>
    <col min="14852" max="14852" width="33.5703125" style="647" customWidth="1"/>
    <col min="14853" max="14853" width="13.7109375" style="647" customWidth="1"/>
    <col min="14854" max="14854" width="0" style="647" hidden="1" customWidth="1"/>
    <col min="14855" max="14856" width="11.42578125" style="647" bestFit="1" customWidth="1"/>
    <col min="14857" max="15104" width="9.140625" style="647"/>
    <col min="15105" max="15105" width="3.42578125" style="647" customWidth="1"/>
    <col min="15106" max="15106" width="20.85546875" style="647" customWidth="1"/>
    <col min="15107" max="15107" width="36.42578125" style="647" customWidth="1"/>
    <col min="15108" max="15108" width="33.5703125" style="647" customWidth="1"/>
    <col min="15109" max="15109" width="13.7109375" style="647" customWidth="1"/>
    <col min="15110" max="15110" width="0" style="647" hidden="1" customWidth="1"/>
    <col min="15111" max="15112" width="11.42578125" style="647" bestFit="1" customWidth="1"/>
    <col min="15113" max="15360" width="9.140625" style="647"/>
    <col min="15361" max="15361" width="3.42578125" style="647" customWidth="1"/>
    <col min="15362" max="15362" width="20.85546875" style="647" customWidth="1"/>
    <col min="15363" max="15363" width="36.42578125" style="647" customWidth="1"/>
    <col min="15364" max="15364" width="33.5703125" style="647" customWidth="1"/>
    <col min="15365" max="15365" width="13.7109375" style="647" customWidth="1"/>
    <col min="15366" max="15366" width="0" style="647" hidden="1" customWidth="1"/>
    <col min="15367" max="15368" width="11.42578125" style="647" bestFit="1" customWidth="1"/>
    <col min="15369" max="15616" width="9.140625" style="647"/>
    <col min="15617" max="15617" width="3.42578125" style="647" customWidth="1"/>
    <col min="15618" max="15618" width="20.85546875" style="647" customWidth="1"/>
    <col min="15619" max="15619" width="36.42578125" style="647" customWidth="1"/>
    <col min="15620" max="15620" width="33.5703125" style="647" customWidth="1"/>
    <col min="15621" max="15621" width="13.7109375" style="647" customWidth="1"/>
    <col min="15622" max="15622" width="0" style="647" hidden="1" customWidth="1"/>
    <col min="15623" max="15624" width="11.42578125" style="647" bestFit="1" customWidth="1"/>
    <col min="15625" max="15872" width="9.140625" style="647"/>
    <col min="15873" max="15873" width="3.42578125" style="647" customWidth="1"/>
    <col min="15874" max="15874" width="20.85546875" style="647" customWidth="1"/>
    <col min="15875" max="15875" width="36.42578125" style="647" customWidth="1"/>
    <col min="15876" max="15876" width="33.5703125" style="647" customWidth="1"/>
    <col min="15877" max="15877" width="13.7109375" style="647" customWidth="1"/>
    <col min="15878" max="15878" width="0" style="647" hidden="1" customWidth="1"/>
    <col min="15879" max="15880" width="11.42578125" style="647" bestFit="1" customWidth="1"/>
    <col min="15881" max="16128" width="9.140625" style="647"/>
    <col min="16129" max="16129" width="3.42578125" style="647" customWidth="1"/>
    <col min="16130" max="16130" width="20.85546875" style="647" customWidth="1"/>
    <col min="16131" max="16131" width="36.42578125" style="647" customWidth="1"/>
    <col min="16132" max="16132" width="33.5703125" style="647" customWidth="1"/>
    <col min="16133" max="16133" width="13.7109375" style="647" customWidth="1"/>
    <col min="16134" max="16134" width="0" style="647" hidden="1" customWidth="1"/>
    <col min="16135" max="16136" width="11.42578125" style="647" bestFit="1" customWidth="1"/>
    <col min="16137" max="16384" width="9.140625" style="647"/>
  </cols>
  <sheetData>
    <row r="1" spans="1:12" s="634" customFormat="1" ht="15.75" customHeight="1" x14ac:dyDescent="0.25">
      <c r="A1" s="632"/>
      <c r="B1" s="633"/>
      <c r="D1" s="633"/>
    </row>
    <row r="2" spans="1:12" s="592" customFormat="1" ht="11.25" x14ac:dyDescent="0.2">
      <c r="B2" s="635"/>
      <c r="E2" s="592" t="s">
        <v>523</v>
      </c>
    </row>
    <row r="3" spans="1:12" s="592" customFormat="1" ht="17.25" customHeight="1" x14ac:dyDescent="0.2">
      <c r="B3" s="706" t="s">
        <v>129</v>
      </c>
      <c r="C3" s="706"/>
      <c r="D3" s="707" t="s">
        <v>130</v>
      </c>
      <c r="E3" s="707"/>
    </row>
    <row r="4" spans="1:12" s="592" customFormat="1" ht="9" customHeight="1" x14ac:dyDescent="0.2">
      <c r="B4" s="708"/>
      <c r="C4" s="708"/>
      <c r="D4" s="709"/>
      <c r="E4" s="709"/>
    </row>
    <row r="5" spans="1:12" s="592" customFormat="1" ht="17.25" customHeight="1" x14ac:dyDescent="0.2">
      <c r="B5" s="710" t="s">
        <v>468</v>
      </c>
      <c r="C5" s="710"/>
      <c r="D5" s="711" t="s">
        <v>468</v>
      </c>
      <c r="E5" s="711"/>
    </row>
    <row r="6" spans="1:12" s="592" customFormat="1" ht="17.25" customHeight="1" x14ac:dyDescent="0.2">
      <c r="B6" s="710"/>
      <c r="C6" s="710"/>
      <c r="D6" s="711"/>
      <c r="E6" s="711"/>
    </row>
    <row r="7" spans="1:12" s="592" customFormat="1" ht="17.25" customHeight="1" x14ac:dyDescent="0.2">
      <c r="B7" s="710" t="s">
        <v>469</v>
      </c>
      <c r="C7" s="710"/>
      <c r="D7" s="711" t="s">
        <v>469</v>
      </c>
      <c r="E7" s="711"/>
    </row>
    <row r="8" spans="1:12" s="637" customFormat="1" ht="18" customHeight="1" x14ac:dyDescent="0.3">
      <c r="A8" s="712"/>
      <c r="B8" s="712"/>
      <c r="C8" s="712"/>
      <c r="D8" s="712"/>
      <c r="E8" s="713"/>
      <c r="F8" s="636"/>
    </row>
    <row r="9" spans="1:12" s="637" customFormat="1" ht="18" customHeight="1" x14ac:dyDescent="0.3">
      <c r="A9" s="705" t="s">
        <v>524</v>
      </c>
      <c r="B9" s="705"/>
      <c r="C9" s="705"/>
      <c r="D9" s="705"/>
      <c r="E9" s="705"/>
      <c r="F9" s="636"/>
    </row>
    <row r="10" spans="1:12" s="637" customFormat="1" ht="18" customHeight="1" x14ac:dyDescent="0.25">
      <c r="A10" s="638"/>
      <c r="B10" s="690" t="s">
        <v>525</v>
      </c>
      <c r="C10" s="690"/>
      <c r="D10" s="690"/>
      <c r="E10" s="690"/>
      <c r="F10" s="636"/>
    </row>
    <row r="11" spans="1:12" s="643" customFormat="1" ht="30.75" customHeight="1" x14ac:dyDescent="0.2">
      <c r="A11" s="691" t="s">
        <v>526</v>
      </c>
      <c r="B11" s="691"/>
      <c r="C11" s="691"/>
      <c r="D11" s="691"/>
      <c r="E11" s="691"/>
      <c r="F11" s="691"/>
      <c r="G11" s="640"/>
      <c r="H11" s="640"/>
      <c r="I11" s="641"/>
      <c r="J11" s="642"/>
      <c r="K11" s="642"/>
      <c r="L11" s="642"/>
    </row>
    <row r="12" spans="1:12" ht="21" customHeight="1" x14ac:dyDescent="0.25">
      <c r="A12" s="644" t="s">
        <v>109</v>
      </c>
      <c r="B12" s="692" t="s">
        <v>527</v>
      </c>
      <c r="C12" s="692"/>
      <c r="D12" s="692"/>
      <c r="E12" s="692"/>
      <c r="F12" s="645"/>
      <c r="G12" s="645"/>
      <c r="H12" s="645"/>
      <c r="I12" s="646"/>
      <c r="J12" s="646"/>
      <c r="K12" s="646"/>
    </row>
    <row r="13" spans="1:12" ht="8.25" hidden="1" customHeight="1" x14ac:dyDescent="0.25">
      <c r="A13" s="648"/>
    </row>
    <row r="14" spans="1:12" s="650" customFormat="1" ht="43.5" customHeight="1" x14ac:dyDescent="0.2">
      <c r="A14" s="693" t="s">
        <v>62</v>
      </c>
      <c r="B14" s="693" t="s">
        <v>528</v>
      </c>
      <c r="C14" s="694" t="s">
        <v>529</v>
      </c>
      <c r="D14" s="649" t="s">
        <v>530</v>
      </c>
      <c r="E14" s="693" t="s">
        <v>531</v>
      </c>
    </row>
    <row r="15" spans="1:12" s="650" customFormat="1" ht="18" customHeight="1" x14ac:dyDescent="0.2">
      <c r="A15" s="693"/>
      <c r="B15" s="693"/>
      <c r="C15" s="694"/>
      <c r="D15" s="649" t="s">
        <v>532</v>
      </c>
      <c r="E15" s="693"/>
    </row>
    <row r="16" spans="1:12" ht="18.75" hidden="1" customHeight="1" x14ac:dyDescent="0.25">
      <c r="A16" s="695" t="s">
        <v>533</v>
      </c>
      <c r="B16" s="696"/>
      <c r="C16" s="696"/>
      <c r="D16" s="696"/>
      <c r="E16" s="697"/>
    </row>
    <row r="17" spans="1:7" s="657" customFormat="1" ht="248.25" hidden="1" customHeight="1" x14ac:dyDescent="0.2">
      <c r="A17" s="651" t="s">
        <v>383</v>
      </c>
      <c r="B17" s="652" t="s">
        <v>534</v>
      </c>
      <c r="C17" s="653" t="s">
        <v>535</v>
      </c>
      <c r="D17" s="654" t="s">
        <v>536</v>
      </c>
      <c r="E17" s="655">
        <f>(6580+4+0.7)*2*1.25</f>
        <v>16461.75</v>
      </c>
      <c r="F17" s="656"/>
    </row>
    <row r="18" spans="1:7" s="660" customFormat="1" ht="21" hidden="1" customHeight="1" x14ac:dyDescent="0.2">
      <c r="A18" s="698" t="s">
        <v>537</v>
      </c>
      <c r="B18" s="699"/>
      <c r="C18" s="699"/>
      <c r="D18" s="700"/>
      <c r="E18" s="658"/>
      <c r="F18" s="659"/>
    </row>
    <row r="19" spans="1:7" ht="18.75" customHeight="1" x14ac:dyDescent="0.25">
      <c r="A19" s="695" t="s">
        <v>538</v>
      </c>
      <c r="B19" s="696"/>
      <c r="C19" s="696"/>
      <c r="D19" s="696"/>
      <c r="E19" s="697"/>
    </row>
    <row r="20" spans="1:7" s="657" customFormat="1" ht="99.75" customHeight="1" x14ac:dyDescent="0.2">
      <c r="A20" s="651" t="s">
        <v>383</v>
      </c>
      <c r="B20" s="701" t="s">
        <v>539</v>
      </c>
      <c r="C20" s="661" t="s">
        <v>540</v>
      </c>
      <c r="D20" s="662" t="s">
        <v>541</v>
      </c>
      <c r="E20" s="663">
        <f xml:space="preserve">
(55.88+189.64*1.34)
*1000</f>
        <v>309997.60000000003</v>
      </c>
      <c r="F20" s="656"/>
      <c r="G20" s="657">
        <f>1700*70/10000</f>
        <v>11.9</v>
      </c>
    </row>
    <row r="21" spans="1:7" s="657" customFormat="1" ht="102" x14ac:dyDescent="0.2">
      <c r="A21" s="651" t="s">
        <v>387</v>
      </c>
      <c r="B21" s="702"/>
      <c r="C21" s="661" t="s">
        <v>542</v>
      </c>
      <c r="D21" s="662" t="s">
        <v>543</v>
      </c>
      <c r="E21" s="663">
        <f>E20*0.3</f>
        <v>92999.280000000013</v>
      </c>
      <c r="F21" s="656"/>
    </row>
    <row r="22" spans="1:7" s="657" customFormat="1" ht="178.5" customHeight="1" x14ac:dyDescent="0.2">
      <c r="A22" s="651" t="s">
        <v>544</v>
      </c>
      <c r="B22" s="703"/>
      <c r="C22" s="661" t="s">
        <v>551</v>
      </c>
      <c r="D22" s="662" t="s">
        <v>552</v>
      </c>
      <c r="E22" s="663">
        <f>E21*0.11</f>
        <v>10229.920800000002</v>
      </c>
      <c r="F22" s="656"/>
    </row>
    <row r="23" spans="1:7" s="666" customFormat="1" ht="15" customHeight="1" x14ac:dyDescent="0.2">
      <c r="A23" s="683" t="s">
        <v>545</v>
      </c>
      <c r="B23" s="684"/>
      <c r="C23" s="684"/>
      <c r="D23" s="704"/>
      <c r="E23" s="664">
        <f>E22</f>
        <v>10229.920800000002</v>
      </c>
      <c r="F23" s="665"/>
    </row>
    <row r="24" spans="1:7" s="670" customFormat="1" ht="20.25" hidden="1" customHeight="1" x14ac:dyDescent="0.25">
      <c r="A24" s="687" t="s">
        <v>546</v>
      </c>
      <c r="B24" s="688"/>
      <c r="C24" s="688"/>
      <c r="D24" s="689"/>
      <c r="E24" s="667">
        <f>E23</f>
        <v>10229.920800000002</v>
      </c>
      <c r="F24" s="668"/>
      <c r="G24" s="669"/>
    </row>
    <row r="25" spans="1:7" s="673" customFormat="1" ht="34.5" customHeight="1" x14ac:dyDescent="0.25">
      <c r="A25" s="683" t="s">
        <v>553</v>
      </c>
      <c r="B25" s="684"/>
      <c r="C25" s="684"/>
      <c r="D25" s="684"/>
      <c r="E25" s="664">
        <f>E23*3.83</f>
        <v>39180.596664000004</v>
      </c>
      <c r="F25" s="671"/>
      <c r="G25" s="672"/>
    </row>
    <row r="26" spans="1:7" s="673" customFormat="1" ht="34.5" customHeight="1" x14ac:dyDescent="0.25">
      <c r="A26" s="683" t="s">
        <v>50</v>
      </c>
      <c r="B26" s="684"/>
      <c r="C26" s="684"/>
      <c r="D26" s="684"/>
      <c r="E26" s="664">
        <f>E25*0.18</f>
        <v>7052.5073995200009</v>
      </c>
      <c r="F26" s="671"/>
      <c r="G26" s="672"/>
    </row>
    <row r="27" spans="1:7" s="673" customFormat="1" ht="34.5" customHeight="1" x14ac:dyDescent="0.25">
      <c r="A27" s="683" t="s">
        <v>547</v>
      </c>
      <c r="B27" s="684"/>
      <c r="C27" s="684"/>
      <c r="D27" s="684"/>
      <c r="E27" s="664">
        <f>E25+E26</f>
        <v>46233.104063520004</v>
      </c>
      <c r="F27" s="671"/>
      <c r="G27" s="672"/>
    </row>
    <row r="28" spans="1:7" ht="19.5" customHeight="1" x14ac:dyDescent="0.25">
      <c r="A28" s="685"/>
      <c r="B28" s="685"/>
      <c r="C28" s="685"/>
      <c r="D28" s="685"/>
      <c r="E28" s="685"/>
      <c r="F28" s="685"/>
    </row>
    <row r="29" spans="1:7" ht="20.25" customHeight="1" x14ac:dyDescent="0.25">
      <c r="A29" s="686"/>
      <c r="B29" s="686"/>
      <c r="C29" s="686"/>
      <c r="D29" s="686"/>
      <c r="E29" s="686"/>
    </row>
    <row r="30" spans="1:7" s="675" customFormat="1" ht="22.5" customHeight="1" x14ac:dyDescent="0.2">
      <c r="A30" s="674" t="s">
        <v>548</v>
      </c>
      <c r="B30" s="674"/>
      <c r="C30" s="674" t="s">
        <v>549</v>
      </c>
    </row>
    <row r="31" spans="1:7" s="675" customFormat="1" ht="11.25" customHeight="1" x14ac:dyDescent="0.2">
      <c r="A31" s="675" t="s">
        <v>550</v>
      </c>
    </row>
    <row r="32" spans="1:7" x14ac:dyDescent="0.25">
      <c r="A32" s="666"/>
      <c r="B32" s="676"/>
      <c r="C32" s="676"/>
      <c r="D32" s="681"/>
      <c r="E32" s="681"/>
    </row>
    <row r="33" spans="1:6" s="677" customFormat="1" ht="3" customHeight="1" x14ac:dyDescent="0.25">
      <c r="A33" s="681"/>
      <c r="B33" s="681"/>
      <c r="C33" s="681"/>
      <c r="D33" s="681"/>
      <c r="E33" s="681"/>
    </row>
    <row r="34" spans="1:6" s="666" customFormat="1" ht="18.75" hidden="1" customHeight="1" x14ac:dyDescent="0.2">
      <c r="A34" s="681"/>
      <c r="B34" s="681"/>
      <c r="C34" s="681"/>
      <c r="D34" s="681"/>
      <c r="E34" s="681"/>
      <c r="F34" s="676"/>
    </row>
    <row r="35" spans="1:6" s="666" customFormat="1" ht="18.75" hidden="1" customHeight="1" x14ac:dyDescent="0.2">
      <c r="A35" s="678"/>
      <c r="B35" s="678"/>
      <c r="C35" s="679"/>
      <c r="D35" s="679"/>
      <c r="E35" s="679"/>
      <c r="F35" s="676"/>
    </row>
    <row r="36" spans="1:6" s="666" customFormat="1" ht="28.5" hidden="1" customHeight="1" x14ac:dyDescent="0.25">
      <c r="A36" s="681"/>
      <c r="B36" s="681"/>
      <c r="C36" s="681"/>
      <c r="D36" s="681"/>
      <c r="E36" s="681"/>
      <c r="F36" s="647"/>
    </row>
    <row r="37" spans="1:6" s="666" customFormat="1" ht="15.6" hidden="1" customHeight="1" x14ac:dyDescent="0.2">
      <c r="A37" s="676"/>
      <c r="B37" s="676"/>
      <c r="C37" s="676"/>
      <c r="D37" s="676"/>
      <c r="E37" s="676"/>
      <c r="F37" s="676"/>
    </row>
    <row r="38" spans="1:6" ht="31.15" customHeight="1" x14ac:dyDescent="0.25">
      <c r="A38" s="682"/>
      <c r="B38" s="682"/>
      <c r="C38" s="682"/>
      <c r="D38" s="682"/>
      <c r="E38" s="676"/>
    </row>
    <row r="39" spans="1:6" x14ac:dyDescent="0.25">
      <c r="A39" s="679"/>
      <c r="B39" s="679"/>
      <c r="C39" s="679"/>
      <c r="D39" s="679"/>
      <c r="E39" s="679"/>
    </row>
    <row r="40" spans="1:6" x14ac:dyDescent="0.25">
      <c r="A40" s="679"/>
      <c r="B40" s="679"/>
      <c r="C40" s="679"/>
      <c r="D40" s="679"/>
      <c r="E40" s="679"/>
    </row>
  </sheetData>
  <mergeCells count="35">
    <mergeCell ref="A33:E33"/>
    <mergeCell ref="A34:E34"/>
    <mergeCell ref="A36:E36"/>
    <mergeCell ref="A38:D38"/>
    <mergeCell ref="A25:D25"/>
    <mergeCell ref="A26:D26"/>
    <mergeCell ref="A27:D27"/>
    <mergeCell ref="A28:F28"/>
    <mergeCell ref="A29:E29"/>
    <mergeCell ref="D32:E32"/>
    <mergeCell ref="A24:D24"/>
    <mergeCell ref="B10:E10"/>
    <mergeCell ref="A11:F11"/>
    <mergeCell ref="B12:E12"/>
    <mergeCell ref="A14:A15"/>
    <mergeCell ref="B14:B15"/>
    <mergeCell ref="C14:C15"/>
    <mergeCell ref="E14:E15"/>
    <mergeCell ref="A16:E16"/>
    <mergeCell ref="A18:D18"/>
    <mergeCell ref="A19:E19"/>
    <mergeCell ref="B20:B22"/>
    <mergeCell ref="A23:D23"/>
    <mergeCell ref="A9:E9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A8:E8"/>
  </mergeCells>
  <printOptions horizontalCentered="1"/>
  <pageMargins left="1.1811023622047245" right="0.39370078740157483" top="0.35433070866141736" bottom="0.31496062992125984" header="0.31496062992125984" footer="0.31496062992125984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51"/>
  <sheetViews>
    <sheetView topLeftCell="A22" workbookViewId="0">
      <selection activeCell="I26" sqref="I26:M26"/>
    </sheetView>
  </sheetViews>
  <sheetFormatPr defaultColWidth="19.5703125" defaultRowHeight="15.95" customHeight="1" x14ac:dyDescent="0.2"/>
  <cols>
    <col min="1" max="1" width="8.42578125" style="125" customWidth="1"/>
    <col min="2" max="2" width="20.42578125" style="125" customWidth="1"/>
    <col min="3" max="3" width="21.7109375" style="125" customWidth="1"/>
    <col min="4" max="4" width="13" style="125" customWidth="1"/>
    <col min="5" max="6" width="19.5703125" style="125"/>
    <col min="7" max="7" width="11.42578125" style="125" customWidth="1"/>
    <col min="8" max="8" width="19.5703125" style="125"/>
    <col min="9" max="9" width="9.140625" style="125" customWidth="1"/>
    <col min="10" max="10" width="8.140625" style="125" customWidth="1"/>
    <col min="11" max="16384" width="19.5703125" style="125"/>
  </cols>
  <sheetData>
    <row r="1" spans="1:16" ht="15" x14ac:dyDescent="0.25">
      <c r="A1" s="124" t="s">
        <v>0</v>
      </c>
      <c r="E1" s="126"/>
      <c r="F1" s="124" t="s">
        <v>1</v>
      </c>
    </row>
    <row r="2" spans="1:16" ht="12.75" x14ac:dyDescent="0.2">
      <c r="E2" s="126"/>
    </row>
    <row r="3" spans="1:16" ht="12.75" x14ac:dyDescent="0.2">
      <c r="A3" s="127"/>
      <c r="B3" s="127"/>
      <c r="C3" s="127"/>
      <c r="E3" s="126"/>
      <c r="F3" s="127"/>
    </row>
    <row r="4" spans="1:16" ht="12.75" x14ac:dyDescent="0.2">
      <c r="E4" s="126"/>
    </row>
    <row r="5" spans="1:16" ht="12.75" x14ac:dyDescent="0.2">
      <c r="A5" s="125" t="s">
        <v>54</v>
      </c>
      <c r="E5" s="126"/>
      <c r="F5" s="125" t="s">
        <v>55</v>
      </c>
    </row>
    <row r="6" spans="1:16" ht="12.75" x14ac:dyDescent="0.2">
      <c r="E6" s="126"/>
    </row>
    <row r="7" spans="1:16" ht="12.75" x14ac:dyDescent="0.2">
      <c r="E7" s="126"/>
    </row>
    <row r="8" spans="1:16" ht="15" x14ac:dyDescent="0.25">
      <c r="A8" s="729" t="s">
        <v>56</v>
      </c>
      <c r="B8" s="729"/>
      <c r="C8" s="729"/>
      <c r="D8" s="729"/>
      <c r="E8" s="729"/>
      <c r="F8" s="729"/>
      <c r="G8" s="729"/>
      <c r="H8" s="729"/>
      <c r="I8" s="128"/>
      <c r="J8" s="128"/>
      <c r="K8" s="128"/>
      <c r="L8" s="128"/>
    </row>
    <row r="9" spans="1:16" ht="15" x14ac:dyDescent="0.25">
      <c r="A9" s="730" t="s">
        <v>57</v>
      </c>
      <c r="B9" s="730"/>
      <c r="C9" s="730"/>
      <c r="D9" s="730"/>
      <c r="E9" s="730"/>
      <c r="F9" s="730"/>
      <c r="G9" s="730"/>
      <c r="H9" s="730"/>
      <c r="I9" s="129"/>
      <c r="J9" s="129"/>
      <c r="K9" s="129"/>
      <c r="L9" s="129"/>
    </row>
    <row r="10" spans="1:16" ht="15" x14ac:dyDescent="0.25">
      <c r="A10" s="729" t="s">
        <v>370</v>
      </c>
      <c r="B10" s="729"/>
      <c r="C10" s="729"/>
      <c r="D10" s="729"/>
      <c r="E10" s="729"/>
      <c r="F10" s="729"/>
      <c r="G10" s="729"/>
      <c r="H10" s="729"/>
      <c r="I10" s="128"/>
      <c r="J10" s="128"/>
      <c r="K10" s="128"/>
      <c r="L10" s="128"/>
    </row>
    <row r="11" spans="1:16" ht="35.25" customHeight="1" x14ac:dyDescent="0.2">
      <c r="A11" s="731" t="s">
        <v>267</v>
      </c>
      <c r="B11" s="731"/>
      <c r="C11" s="731"/>
      <c r="D11" s="731"/>
      <c r="E11" s="731"/>
      <c r="F11" s="731"/>
      <c r="G11" s="731"/>
      <c r="H11" s="731"/>
    </row>
    <row r="12" spans="1:16" ht="12.75" x14ac:dyDescent="0.2">
      <c r="A12" s="125" t="s">
        <v>59</v>
      </c>
      <c r="E12" s="126"/>
    </row>
    <row r="13" spans="1:16" ht="13.5" thickBot="1" x14ac:dyDescent="0.25">
      <c r="A13" s="125" t="s">
        <v>60</v>
      </c>
      <c r="D13" s="125" t="s">
        <v>61</v>
      </c>
      <c r="E13" s="126"/>
    </row>
    <row r="14" spans="1:16" s="134" customFormat="1" ht="54.75" customHeight="1" thickBot="1" x14ac:dyDescent="0.3">
      <c r="A14" s="130" t="s">
        <v>62</v>
      </c>
      <c r="B14" s="131" t="s">
        <v>63</v>
      </c>
      <c r="C14" s="131" t="s">
        <v>64</v>
      </c>
      <c r="D14" s="131" t="s">
        <v>65</v>
      </c>
      <c r="E14" s="131" t="s">
        <v>66</v>
      </c>
      <c r="F14" s="732" t="s">
        <v>67</v>
      </c>
      <c r="G14" s="733"/>
      <c r="H14" s="132" t="s">
        <v>68</v>
      </c>
      <c r="I14" s="133"/>
      <c r="K14" s="135"/>
      <c r="L14" s="136"/>
      <c r="M14" s="137"/>
      <c r="N14" s="138"/>
      <c r="O14" s="138"/>
      <c r="P14" s="138"/>
    </row>
    <row r="15" spans="1:16" s="143" customFormat="1" ht="15.95" customHeight="1" thickBot="1" x14ac:dyDescent="0.3">
      <c r="A15" s="139">
        <v>1</v>
      </c>
      <c r="B15" s="140">
        <v>2</v>
      </c>
      <c r="C15" s="140">
        <v>3</v>
      </c>
      <c r="D15" s="140">
        <v>4</v>
      </c>
      <c r="E15" s="140">
        <v>5</v>
      </c>
      <c r="F15" s="734">
        <v>6</v>
      </c>
      <c r="G15" s="734"/>
      <c r="H15" s="141">
        <v>7</v>
      </c>
      <c r="I15" s="142"/>
      <c r="K15" s="144"/>
      <c r="L15" s="136"/>
      <c r="M15" s="137"/>
      <c r="N15" s="138"/>
      <c r="O15" s="138"/>
      <c r="P15" s="138"/>
    </row>
    <row r="16" spans="1:16" s="154" customFormat="1" ht="19.5" customHeight="1" x14ac:dyDescent="0.2">
      <c r="A16" s="145"/>
      <c r="B16" s="146"/>
      <c r="C16" s="147"/>
      <c r="D16" s="148"/>
      <c r="E16" s="149"/>
      <c r="F16" s="150" t="s">
        <v>69</v>
      </c>
      <c r="G16" s="151">
        <v>15</v>
      </c>
      <c r="H16" s="149"/>
      <c r="I16" s="152">
        <v>2.97</v>
      </c>
      <c r="J16" s="153" t="s">
        <v>70</v>
      </c>
      <c r="K16" s="153"/>
      <c r="L16" s="153"/>
      <c r="O16" s="155"/>
      <c r="P16" s="156"/>
    </row>
    <row r="17" spans="1:16" s="154" customFormat="1" ht="26.25" customHeight="1" x14ac:dyDescent="0.2">
      <c r="A17" s="735">
        <v>1</v>
      </c>
      <c r="B17" s="737" t="s">
        <v>71</v>
      </c>
      <c r="C17" s="157" t="s">
        <v>72</v>
      </c>
      <c r="D17" s="158">
        <f>I16</f>
        <v>2.97</v>
      </c>
      <c r="E17" s="159">
        <v>7913</v>
      </c>
      <c r="F17" s="160" t="s">
        <v>73</v>
      </c>
      <c r="G17" s="161">
        <f>E17*D17*I18*I28</f>
        <v>36662.511600000005</v>
      </c>
      <c r="H17" s="162">
        <f>E17*D17*I18*I28</f>
        <v>36662.511600000005</v>
      </c>
      <c r="I17" s="152"/>
      <c r="J17" s="153"/>
      <c r="K17" s="153"/>
      <c r="L17" s="153"/>
      <c r="O17" s="155"/>
      <c r="P17" s="156"/>
    </row>
    <row r="18" spans="1:16" s="154" customFormat="1" ht="33.75" customHeight="1" x14ac:dyDescent="0.2">
      <c r="A18" s="736"/>
      <c r="B18" s="738"/>
      <c r="C18" s="163" t="s">
        <v>74</v>
      </c>
      <c r="D18" s="164">
        <f>I16</f>
        <v>2.97</v>
      </c>
      <c r="E18" s="165">
        <v>4889</v>
      </c>
      <c r="F18" s="160" t="s">
        <v>75</v>
      </c>
      <c r="G18" s="161">
        <f>E18*D18*I24*I25</f>
        <v>27951.635250000007</v>
      </c>
      <c r="H18" s="162">
        <f>E18*D18*I24*I25*I26</f>
        <v>33541.962300000007</v>
      </c>
      <c r="I18" s="152">
        <v>1.2</v>
      </c>
      <c r="J18" s="153" t="s">
        <v>76</v>
      </c>
      <c r="K18" s="153"/>
      <c r="L18" s="153"/>
      <c r="O18" s="155"/>
      <c r="P18" s="156"/>
    </row>
    <row r="19" spans="1:16" s="154" customFormat="1" ht="213" customHeight="1" x14ac:dyDescent="0.2">
      <c r="A19" s="166"/>
      <c r="B19" s="167"/>
      <c r="C19" s="163" t="s">
        <v>77</v>
      </c>
      <c r="D19" s="165"/>
      <c r="E19" s="165"/>
      <c r="F19" s="168"/>
      <c r="G19" s="169"/>
      <c r="H19" s="159"/>
      <c r="I19" s="152"/>
      <c r="J19" s="153"/>
      <c r="K19" s="153"/>
      <c r="L19" s="153"/>
      <c r="O19" s="155"/>
      <c r="P19" s="156"/>
    </row>
    <row r="20" spans="1:16" s="154" customFormat="1" ht="19.5" customHeight="1" x14ac:dyDescent="0.2">
      <c r="A20" s="145"/>
      <c r="B20" s="146"/>
      <c r="C20" s="170"/>
      <c r="D20" s="148"/>
      <c r="E20" s="148"/>
      <c r="F20" s="150" t="s">
        <v>69</v>
      </c>
      <c r="G20" s="171">
        <v>4</v>
      </c>
      <c r="H20" s="172"/>
      <c r="I20" s="152"/>
      <c r="J20" s="153"/>
      <c r="K20" s="153"/>
      <c r="L20" s="153"/>
      <c r="O20" s="155"/>
      <c r="P20" s="156"/>
    </row>
    <row r="21" spans="1:16" s="154" customFormat="1" ht="75.75" customHeight="1" x14ac:dyDescent="0.2">
      <c r="A21" s="173">
        <v>2</v>
      </c>
      <c r="B21" s="174" t="s">
        <v>78</v>
      </c>
      <c r="C21" s="175" t="s">
        <v>79</v>
      </c>
      <c r="D21" s="176"/>
      <c r="E21" s="176"/>
      <c r="F21" s="168" t="s">
        <v>463</v>
      </c>
      <c r="G21" s="169">
        <f>H17*I30</f>
        <v>3207.9697650000003</v>
      </c>
      <c r="H21" s="177">
        <f>H17*I30</f>
        <v>3207.9697650000003</v>
      </c>
      <c r="I21" s="152"/>
      <c r="J21" s="153"/>
      <c r="K21" s="153"/>
      <c r="L21" s="153"/>
      <c r="O21" s="155"/>
      <c r="P21" s="156"/>
    </row>
    <row r="22" spans="1:16" s="154" customFormat="1" ht="19.5" customHeight="1" x14ac:dyDescent="0.2">
      <c r="A22" s="145"/>
      <c r="B22" s="146"/>
      <c r="C22" s="170"/>
      <c r="D22" s="148"/>
      <c r="E22" s="148"/>
      <c r="F22" s="150" t="s">
        <v>69</v>
      </c>
      <c r="G22" s="171">
        <v>5</v>
      </c>
      <c r="H22" s="172"/>
      <c r="I22" s="152"/>
      <c r="J22" s="153"/>
      <c r="K22" s="153"/>
      <c r="L22" s="153"/>
      <c r="O22" s="155"/>
      <c r="P22" s="156"/>
    </row>
    <row r="23" spans="1:16" s="154" customFormat="1" ht="57.75" customHeight="1" x14ac:dyDescent="0.2">
      <c r="A23" s="173">
        <v>3</v>
      </c>
      <c r="B23" s="174" t="s">
        <v>80</v>
      </c>
      <c r="C23" s="175" t="s">
        <v>367</v>
      </c>
      <c r="D23" s="176"/>
      <c r="E23" s="176"/>
      <c r="F23" s="168" t="s">
        <v>368</v>
      </c>
      <c r="G23" s="169">
        <f>(H17+H21)*I29</f>
        <v>0</v>
      </c>
      <c r="H23" s="177">
        <f>(H17+H21)*I29</f>
        <v>0</v>
      </c>
      <c r="I23" s="152"/>
      <c r="J23" s="153"/>
      <c r="K23" s="153"/>
      <c r="L23" s="153"/>
      <c r="O23" s="155"/>
      <c r="P23" s="156"/>
    </row>
    <row r="24" spans="1:16" s="154" customFormat="1" ht="19.5" customHeight="1" x14ac:dyDescent="0.2">
      <c r="A24" s="145"/>
      <c r="B24" s="146"/>
      <c r="C24" s="170"/>
      <c r="D24" s="148"/>
      <c r="E24" s="148"/>
      <c r="F24" s="150" t="s">
        <v>81</v>
      </c>
      <c r="G24" s="171">
        <v>13</v>
      </c>
      <c r="H24" s="172"/>
      <c r="I24" s="152">
        <v>1.75</v>
      </c>
      <c r="J24" s="153" t="s">
        <v>82</v>
      </c>
      <c r="K24" s="153"/>
      <c r="L24" s="153"/>
      <c r="O24" s="155"/>
      <c r="P24" s="156"/>
    </row>
    <row r="25" spans="1:16" s="154" customFormat="1" ht="41.25" customHeight="1" x14ac:dyDescent="0.2">
      <c r="A25" s="173">
        <v>4</v>
      </c>
      <c r="B25" s="174" t="s">
        <v>83</v>
      </c>
      <c r="C25" s="178" t="s">
        <v>84</v>
      </c>
      <c r="D25" s="176"/>
      <c r="E25" s="176"/>
      <c r="F25" s="160" t="s">
        <v>85</v>
      </c>
      <c r="G25" s="161">
        <f>(H17+H21)*I33</f>
        <v>2392.2288819000005</v>
      </c>
      <c r="H25" s="179">
        <f>(H17+H21)*6%</f>
        <v>2392.2288819000005</v>
      </c>
      <c r="I25" s="152">
        <v>1.1000000000000001</v>
      </c>
      <c r="J25" s="153" t="s">
        <v>86</v>
      </c>
      <c r="K25" s="153"/>
      <c r="L25" s="153"/>
      <c r="O25" s="155"/>
      <c r="P25" s="156"/>
    </row>
    <row r="26" spans="1:16" s="154" customFormat="1" ht="13.5" customHeight="1" x14ac:dyDescent="0.2">
      <c r="A26" s="739" t="s">
        <v>87</v>
      </c>
      <c r="B26" s="739"/>
      <c r="C26" s="739"/>
      <c r="D26" s="739"/>
      <c r="E26" s="739"/>
      <c r="F26" s="739"/>
      <c r="G26" s="740"/>
      <c r="H26" s="180">
        <f>H17+H18+H21+H23+H25</f>
        <v>75804.672546900008</v>
      </c>
      <c r="I26" s="152">
        <v>1.2</v>
      </c>
      <c r="J26" s="153" t="s">
        <v>364</v>
      </c>
      <c r="K26" s="153"/>
      <c r="L26" s="153"/>
      <c r="O26" s="155"/>
      <c r="P26" s="156"/>
    </row>
    <row r="27" spans="1:16" s="154" customFormat="1" ht="14.25" customHeight="1" x14ac:dyDescent="0.2">
      <c r="A27" s="181"/>
      <c r="B27" s="167"/>
      <c r="C27" s="95"/>
      <c r="E27" s="182" t="s">
        <v>297</v>
      </c>
      <c r="F27" s="741">
        <v>3.91</v>
      </c>
      <c r="G27" s="742"/>
      <c r="H27" s="183"/>
      <c r="I27" s="152">
        <v>3.91</v>
      </c>
      <c r="J27" s="153" t="s">
        <v>88</v>
      </c>
      <c r="K27" s="153"/>
      <c r="L27" s="153"/>
      <c r="O27" s="155"/>
      <c r="P27" s="156"/>
    </row>
    <row r="28" spans="1:16" ht="15.95" customHeight="1" thickBot="1" x14ac:dyDescent="0.3">
      <c r="A28" s="184"/>
      <c r="B28" s="743" t="s">
        <v>89</v>
      </c>
      <c r="C28" s="743"/>
      <c r="D28" s="743"/>
      <c r="E28" s="743"/>
      <c r="F28" s="743"/>
      <c r="G28" s="744"/>
      <c r="H28" s="185">
        <f>H26*F27</f>
        <v>296396.26965837902</v>
      </c>
      <c r="I28" s="186">
        <v>1.3</v>
      </c>
      <c r="J28" s="187" t="s">
        <v>90</v>
      </c>
      <c r="K28" s="188"/>
      <c r="L28" s="126"/>
      <c r="M28" s="126"/>
      <c r="N28" s="126"/>
    </row>
    <row r="29" spans="1:16" s="154" customFormat="1" ht="48.75" customHeight="1" x14ac:dyDescent="0.2">
      <c r="A29" s="189"/>
      <c r="B29" s="190"/>
      <c r="C29" s="191"/>
      <c r="D29" s="192"/>
      <c r="E29" s="193"/>
      <c r="F29" s="727" t="s">
        <v>91</v>
      </c>
      <c r="G29" s="728"/>
      <c r="H29" s="194">
        <f>E48</f>
        <v>19011.273999999998</v>
      </c>
      <c r="I29" s="195">
        <v>0</v>
      </c>
      <c r="J29" s="153" t="s">
        <v>92</v>
      </c>
    </row>
    <row r="30" spans="1:16" ht="15.95" customHeight="1" x14ac:dyDescent="0.2">
      <c r="A30" s="716" t="s">
        <v>348</v>
      </c>
      <c r="B30" s="717"/>
      <c r="C30" s="717"/>
      <c r="D30" s="717"/>
      <c r="E30" s="717"/>
      <c r="F30" s="717"/>
      <c r="G30" s="717"/>
      <c r="H30" s="196">
        <f>H28+H29</f>
        <v>315407.543658379</v>
      </c>
      <c r="I30" s="197">
        <v>8.7499999999999994E-2</v>
      </c>
      <c r="J30" s="187" t="s">
        <v>369</v>
      </c>
      <c r="L30" s="126"/>
      <c r="M30" s="126"/>
      <c r="N30" s="126"/>
    </row>
    <row r="31" spans="1:16" ht="36.75" customHeight="1" x14ac:dyDescent="0.2">
      <c r="A31" s="532"/>
      <c r="B31" s="532"/>
      <c r="C31" s="532"/>
      <c r="D31" s="532"/>
      <c r="E31" s="532"/>
      <c r="F31" s="722" t="s">
        <v>365</v>
      </c>
      <c r="G31" s="723"/>
      <c r="H31" s="533">
        <f>H30*10%</f>
        <v>31540.7543658379</v>
      </c>
      <c r="I31" s="197"/>
      <c r="J31" s="187"/>
      <c r="L31" s="126"/>
      <c r="M31" s="126"/>
      <c r="N31" s="126"/>
    </row>
    <row r="32" spans="1:16" ht="15.95" customHeight="1" x14ac:dyDescent="0.2">
      <c r="A32" s="532"/>
      <c r="B32" s="532"/>
      <c r="C32" s="532"/>
      <c r="D32" s="532"/>
      <c r="E32" s="724" t="s">
        <v>366</v>
      </c>
      <c r="F32" s="725"/>
      <c r="G32" s="726"/>
      <c r="H32" s="533">
        <f>H30+H31</f>
        <v>346948.2980242169</v>
      </c>
      <c r="I32" s="197"/>
      <c r="J32" s="187"/>
      <c r="L32" s="126"/>
      <c r="M32" s="126"/>
      <c r="N32" s="126"/>
    </row>
    <row r="33" spans="1:14" ht="15.95" customHeight="1" x14ac:dyDescent="0.2">
      <c r="A33" s="198"/>
      <c r="B33" s="199"/>
      <c r="C33" s="199"/>
      <c r="D33" s="199"/>
      <c r="E33" s="199"/>
      <c r="F33" s="199"/>
      <c r="G33" s="199"/>
      <c r="H33" s="200"/>
      <c r="I33" s="201">
        <v>0.06</v>
      </c>
      <c r="J33" s="187" t="s">
        <v>93</v>
      </c>
      <c r="L33" s="126"/>
      <c r="M33" s="126"/>
      <c r="N33" s="126"/>
    </row>
    <row r="34" spans="1:14" ht="17.25" customHeight="1" x14ac:dyDescent="0.2"/>
    <row r="35" spans="1:14" ht="12" customHeight="1" x14ac:dyDescent="0.2"/>
    <row r="36" spans="1:14" ht="12.75" x14ac:dyDescent="0.2"/>
    <row r="37" spans="1:14" ht="26.25" customHeight="1" x14ac:dyDescent="0.2">
      <c r="G37" s="202" t="s">
        <v>94</v>
      </c>
      <c r="L37" s="202"/>
    </row>
    <row r="38" spans="1:14" ht="27" customHeight="1" x14ac:dyDescent="0.2">
      <c r="G38" s="203" t="s">
        <v>95</v>
      </c>
      <c r="J38" s="203"/>
      <c r="L38" s="203"/>
    </row>
    <row r="39" spans="1:14" ht="15.75" customHeight="1" x14ac:dyDescent="0.2"/>
    <row r="40" spans="1:14" ht="69.75" customHeight="1" x14ac:dyDescent="0.25">
      <c r="A40" s="718" t="s">
        <v>96</v>
      </c>
      <c r="B40" s="718"/>
      <c r="C40" s="718"/>
      <c r="D40" s="718"/>
      <c r="E40" s="718"/>
      <c r="F40" s="718"/>
      <c r="G40" s="718"/>
      <c r="H40" s="718"/>
      <c r="I40" s="204"/>
      <c r="J40" s="204"/>
      <c r="K40" s="204"/>
      <c r="L40" s="204"/>
    </row>
    <row r="41" spans="1:14" ht="12.75" x14ac:dyDescent="0.2"/>
    <row r="42" spans="1:14" ht="41.25" customHeight="1" x14ac:dyDescent="0.2">
      <c r="B42" s="719" t="s">
        <v>97</v>
      </c>
      <c r="C42" s="720"/>
      <c r="D42" s="720"/>
      <c r="E42" s="205">
        <f>((32*8)/40)*909.62</f>
        <v>5821.5680000000002</v>
      </c>
      <c r="F42" s="125" t="s">
        <v>98</v>
      </c>
    </row>
    <row r="43" spans="1:14" ht="28.5" customHeight="1" x14ac:dyDescent="0.2">
      <c r="B43" s="721" t="s">
        <v>99</v>
      </c>
      <c r="C43" s="720"/>
      <c r="D43" s="720"/>
      <c r="E43" s="205">
        <f>224.01*4*6.4</f>
        <v>5734.6559999999999</v>
      </c>
      <c r="F43" s="125" t="s">
        <v>98</v>
      </c>
    </row>
    <row r="44" spans="1:14" ht="13.5" customHeight="1" x14ac:dyDescent="0.2">
      <c r="B44" s="719" t="s">
        <v>100</v>
      </c>
      <c r="C44" s="719"/>
      <c r="D44" s="719"/>
      <c r="E44" s="126">
        <f>ROUND((E43*80%),2)</f>
        <v>4587.72</v>
      </c>
      <c r="F44" s="125" t="s">
        <v>98</v>
      </c>
    </row>
    <row r="45" spans="1:14" ht="13.5" customHeight="1" x14ac:dyDescent="0.2">
      <c r="B45" s="719" t="s">
        <v>101</v>
      </c>
      <c r="C45" s="719"/>
      <c r="D45" s="719"/>
      <c r="E45" s="126">
        <f>ROUND((E43*50%),2)</f>
        <v>2867.33</v>
      </c>
      <c r="F45" s="125" t="s">
        <v>98</v>
      </c>
    </row>
    <row r="46" spans="1:14" ht="13.5" customHeight="1" x14ac:dyDescent="0.3">
      <c r="B46" s="206" t="s">
        <v>102</v>
      </c>
      <c r="C46" s="207"/>
      <c r="D46" s="207"/>
      <c r="E46" s="208">
        <f>SUM(E42:E45)</f>
        <v>19011.273999999998</v>
      </c>
      <c r="F46" s="124" t="s">
        <v>98</v>
      </c>
    </row>
    <row r="47" spans="1:14" ht="13.5" x14ac:dyDescent="0.25">
      <c r="B47" s="209" t="s">
        <v>103</v>
      </c>
      <c r="E47" s="210">
        <v>0</v>
      </c>
      <c r="F47" s="125" t="s">
        <v>98</v>
      </c>
    </row>
    <row r="48" spans="1:14" s="124" customFormat="1" ht="13.5" customHeight="1" x14ac:dyDescent="0.3">
      <c r="B48" s="206" t="s">
        <v>102</v>
      </c>
      <c r="E48" s="208">
        <f>E46+E47</f>
        <v>19011.273999999998</v>
      </c>
      <c r="F48" s="124" t="s">
        <v>98</v>
      </c>
    </row>
    <row r="49" spans="1:8" ht="13.5" x14ac:dyDescent="0.25">
      <c r="B49" s="209"/>
    </row>
    <row r="50" spans="1:8" ht="91.5" customHeight="1" x14ac:dyDescent="0.2">
      <c r="A50" s="211" t="s">
        <v>104</v>
      </c>
      <c r="B50" s="714" t="s">
        <v>105</v>
      </c>
      <c r="C50" s="714"/>
      <c r="D50" s="714"/>
      <c r="E50" s="714"/>
      <c r="F50" s="714"/>
      <c r="G50" s="714"/>
      <c r="H50" s="714"/>
    </row>
    <row r="51" spans="1:8" ht="49.5" customHeight="1" x14ac:dyDescent="0.2">
      <c r="A51" s="212" t="s">
        <v>106</v>
      </c>
      <c r="B51" s="715" t="s">
        <v>107</v>
      </c>
      <c r="C51" s="715"/>
      <c r="D51" s="715"/>
      <c r="E51" s="715"/>
      <c r="F51" s="715"/>
    </row>
  </sheetData>
  <mergeCells count="22">
    <mergeCell ref="F29:G29"/>
    <mergeCell ref="A8:H8"/>
    <mergeCell ref="A9:H9"/>
    <mergeCell ref="A10:H10"/>
    <mergeCell ref="A11:H11"/>
    <mergeCell ref="F14:G14"/>
    <mergeCell ref="F15:G15"/>
    <mergeCell ref="A17:A18"/>
    <mergeCell ref="B17:B18"/>
    <mergeCell ref="A26:G26"/>
    <mergeCell ref="F27:G27"/>
    <mergeCell ref="B28:G28"/>
    <mergeCell ref="B50:H50"/>
    <mergeCell ref="B51:F51"/>
    <mergeCell ref="A30:G30"/>
    <mergeCell ref="A40:H40"/>
    <mergeCell ref="B42:D42"/>
    <mergeCell ref="B43:D43"/>
    <mergeCell ref="B44:D44"/>
    <mergeCell ref="B45:D45"/>
    <mergeCell ref="F31:G31"/>
    <mergeCell ref="E32:G3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view="pageBreakPreview" zoomScale="115" zoomScaleNormal="115" zoomScaleSheetLayoutView="115" workbookViewId="0">
      <selection activeCell="G44" sqref="G44"/>
    </sheetView>
  </sheetViews>
  <sheetFormatPr defaultRowHeight="15" x14ac:dyDescent="0.2"/>
  <cols>
    <col min="1" max="1" width="3.28515625" style="410" customWidth="1"/>
    <col min="2" max="2" width="25.5703125" style="458" customWidth="1"/>
    <col min="3" max="3" width="8.7109375" style="457" customWidth="1"/>
    <col min="4" max="4" width="5.85546875" style="410" customWidth="1"/>
    <col min="5" max="5" width="27.140625" style="452" customWidth="1"/>
    <col min="6" max="6" width="14" style="410" customWidth="1"/>
    <col min="7" max="7" width="12.42578125" style="410" customWidth="1"/>
    <col min="8" max="8" width="16.140625" style="410" customWidth="1"/>
    <col min="9" max="9" width="10.42578125" style="410" customWidth="1"/>
    <col min="10" max="256" width="9.140625" style="410"/>
    <col min="257" max="257" width="3.28515625" style="410" customWidth="1"/>
    <col min="258" max="258" width="25.5703125" style="410" customWidth="1"/>
    <col min="259" max="259" width="8.7109375" style="410" customWidth="1"/>
    <col min="260" max="260" width="5.85546875" style="410" customWidth="1"/>
    <col min="261" max="261" width="29.85546875" style="410" customWidth="1"/>
    <col min="262" max="262" width="14" style="410" customWidth="1"/>
    <col min="263" max="263" width="12.42578125" style="410" customWidth="1"/>
    <col min="264" max="264" width="10.140625" style="410" bestFit="1" customWidth="1"/>
    <col min="265" max="512" width="9.140625" style="410"/>
    <col min="513" max="513" width="3.28515625" style="410" customWidth="1"/>
    <col min="514" max="514" width="25.5703125" style="410" customWidth="1"/>
    <col min="515" max="515" width="8.7109375" style="410" customWidth="1"/>
    <col min="516" max="516" width="5.85546875" style="410" customWidth="1"/>
    <col min="517" max="517" width="29.85546875" style="410" customWidth="1"/>
    <col min="518" max="518" width="14" style="410" customWidth="1"/>
    <col min="519" max="519" width="12.42578125" style="410" customWidth="1"/>
    <col min="520" max="520" width="10.140625" style="410" bestFit="1" customWidth="1"/>
    <col min="521" max="768" width="9.140625" style="410"/>
    <col min="769" max="769" width="3.28515625" style="410" customWidth="1"/>
    <col min="770" max="770" width="25.5703125" style="410" customWidth="1"/>
    <col min="771" max="771" width="8.7109375" style="410" customWidth="1"/>
    <col min="772" max="772" width="5.85546875" style="410" customWidth="1"/>
    <col min="773" max="773" width="29.85546875" style="410" customWidth="1"/>
    <col min="774" max="774" width="14" style="410" customWidth="1"/>
    <col min="775" max="775" width="12.42578125" style="410" customWidth="1"/>
    <col min="776" max="776" width="10.140625" style="410" bestFit="1" customWidth="1"/>
    <col min="777" max="1024" width="9.140625" style="410"/>
    <col min="1025" max="1025" width="3.28515625" style="410" customWidth="1"/>
    <col min="1026" max="1026" width="25.5703125" style="410" customWidth="1"/>
    <col min="1027" max="1027" width="8.7109375" style="410" customWidth="1"/>
    <col min="1028" max="1028" width="5.85546875" style="410" customWidth="1"/>
    <col min="1029" max="1029" width="29.85546875" style="410" customWidth="1"/>
    <col min="1030" max="1030" width="14" style="410" customWidth="1"/>
    <col min="1031" max="1031" width="12.42578125" style="410" customWidth="1"/>
    <col min="1032" max="1032" width="10.140625" style="410" bestFit="1" customWidth="1"/>
    <col min="1033" max="1280" width="9.140625" style="410"/>
    <col min="1281" max="1281" width="3.28515625" style="410" customWidth="1"/>
    <col min="1282" max="1282" width="25.5703125" style="410" customWidth="1"/>
    <col min="1283" max="1283" width="8.7109375" style="410" customWidth="1"/>
    <col min="1284" max="1284" width="5.85546875" style="410" customWidth="1"/>
    <col min="1285" max="1285" width="29.85546875" style="410" customWidth="1"/>
    <col min="1286" max="1286" width="14" style="410" customWidth="1"/>
    <col min="1287" max="1287" width="12.42578125" style="410" customWidth="1"/>
    <col min="1288" max="1288" width="10.140625" style="410" bestFit="1" customWidth="1"/>
    <col min="1289" max="1536" width="9.140625" style="410"/>
    <col min="1537" max="1537" width="3.28515625" style="410" customWidth="1"/>
    <col min="1538" max="1538" width="25.5703125" style="410" customWidth="1"/>
    <col min="1539" max="1539" width="8.7109375" style="410" customWidth="1"/>
    <col min="1540" max="1540" width="5.85546875" style="410" customWidth="1"/>
    <col min="1541" max="1541" width="29.85546875" style="410" customWidth="1"/>
    <col min="1542" max="1542" width="14" style="410" customWidth="1"/>
    <col min="1543" max="1543" width="12.42578125" style="410" customWidth="1"/>
    <col min="1544" max="1544" width="10.140625" style="410" bestFit="1" customWidth="1"/>
    <col min="1545" max="1792" width="9.140625" style="410"/>
    <col min="1793" max="1793" width="3.28515625" style="410" customWidth="1"/>
    <col min="1794" max="1794" width="25.5703125" style="410" customWidth="1"/>
    <col min="1795" max="1795" width="8.7109375" style="410" customWidth="1"/>
    <col min="1796" max="1796" width="5.85546875" style="410" customWidth="1"/>
    <col min="1797" max="1797" width="29.85546875" style="410" customWidth="1"/>
    <col min="1798" max="1798" width="14" style="410" customWidth="1"/>
    <col min="1799" max="1799" width="12.42578125" style="410" customWidth="1"/>
    <col min="1800" max="1800" width="10.140625" style="410" bestFit="1" customWidth="1"/>
    <col min="1801" max="2048" width="9.140625" style="410"/>
    <col min="2049" max="2049" width="3.28515625" style="410" customWidth="1"/>
    <col min="2050" max="2050" width="25.5703125" style="410" customWidth="1"/>
    <col min="2051" max="2051" width="8.7109375" style="410" customWidth="1"/>
    <col min="2052" max="2052" width="5.85546875" style="410" customWidth="1"/>
    <col min="2053" max="2053" width="29.85546875" style="410" customWidth="1"/>
    <col min="2054" max="2054" width="14" style="410" customWidth="1"/>
    <col min="2055" max="2055" width="12.42578125" style="410" customWidth="1"/>
    <col min="2056" max="2056" width="10.140625" style="410" bestFit="1" customWidth="1"/>
    <col min="2057" max="2304" width="9.140625" style="410"/>
    <col min="2305" max="2305" width="3.28515625" style="410" customWidth="1"/>
    <col min="2306" max="2306" width="25.5703125" style="410" customWidth="1"/>
    <col min="2307" max="2307" width="8.7109375" style="410" customWidth="1"/>
    <col min="2308" max="2308" width="5.85546875" style="410" customWidth="1"/>
    <col min="2309" max="2309" width="29.85546875" style="410" customWidth="1"/>
    <col min="2310" max="2310" width="14" style="410" customWidth="1"/>
    <col min="2311" max="2311" width="12.42578125" style="410" customWidth="1"/>
    <col min="2312" max="2312" width="10.140625" style="410" bestFit="1" customWidth="1"/>
    <col min="2313" max="2560" width="9.140625" style="410"/>
    <col min="2561" max="2561" width="3.28515625" style="410" customWidth="1"/>
    <col min="2562" max="2562" width="25.5703125" style="410" customWidth="1"/>
    <col min="2563" max="2563" width="8.7109375" style="410" customWidth="1"/>
    <col min="2564" max="2564" width="5.85546875" style="410" customWidth="1"/>
    <col min="2565" max="2565" width="29.85546875" style="410" customWidth="1"/>
    <col min="2566" max="2566" width="14" style="410" customWidth="1"/>
    <col min="2567" max="2567" width="12.42578125" style="410" customWidth="1"/>
    <col min="2568" max="2568" width="10.140625" style="410" bestFit="1" customWidth="1"/>
    <col min="2569" max="2816" width="9.140625" style="410"/>
    <col min="2817" max="2817" width="3.28515625" style="410" customWidth="1"/>
    <col min="2818" max="2818" width="25.5703125" style="410" customWidth="1"/>
    <col min="2819" max="2819" width="8.7109375" style="410" customWidth="1"/>
    <col min="2820" max="2820" width="5.85546875" style="410" customWidth="1"/>
    <col min="2821" max="2821" width="29.85546875" style="410" customWidth="1"/>
    <col min="2822" max="2822" width="14" style="410" customWidth="1"/>
    <col min="2823" max="2823" width="12.42578125" style="410" customWidth="1"/>
    <col min="2824" max="2824" width="10.140625" style="410" bestFit="1" customWidth="1"/>
    <col min="2825" max="3072" width="9.140625" style="410"/>
    <col min="3073" max="3073" width="3.28515625" style="410" customWidth="1"/>
    <col min="3074" max="3074" width="25.5703125" style="410" customWidth="1"/>
    <col min="3075" max="3075" width="8.7109375" style="410" customWidth="1"/>
    <col min="3076" max="3076" width="5.85546875" style="410" customWidth="1"/>
    <col min="3077" max="3077" width="29.85546875" style="410" customWidth="1"/>
    <col min="3078" max="3078" width="14" style="410" customWidth="1"/>
    <col min="3079" max="3079" width="12.42578125" style="410" customWidth="1"/>
    <col min="3080" max="3080" width="10.140625" style="410" bestFit="1" customWidth="1"/>
    <col min="3081" max="3328" width="9.140625" style="410"/>
    <col min="3329" max="3329" width="3.28515625" style="410" customWidth="1"/>
    <col min="3330" max="3330" width="25.5703125" style="410" customWidth="1"/>
    <col min="3331" max="3331" width="8.7109375" style="410" customWidth="1"/>
    <col min="3332" max="3332" width="5.85546875" style="410" customWidth="1"/>
    <col min="3333" max="3333" width="29.85546875" style="410" customWidth="1"/>
    <col min="3334" max="3334" width="14" style="410" customWidth="1"/>
    <col min="3335" max="3335" width="12.42578125" style="410" customWidth="1"/>
    <col min="3336" max="3336" width="10.140625" style="410" bestFit="1" customWidth="1"/>
    <col min="3337" max="3584" width="9.140625" style="410"/>
    <col min="3585" max="3585" width="3.28515625" style="410" customWidth="1"/>
    <col min="3586" max="3586" width="25.5703125" style="410" customWidth="1"/>
    <col min="3587" max="3587" width="8.7109375" style="410" customWidth="1"/>
    <col min="3588" max="3588" width="5.85546875" style="410" customWidth="1"/>
    <col min="3589" max="3589" width="29.85546875" style="410" customWidth="1"/>
    <col min="3590" max="3590" width="14" style="410" customWidth="1"/>
    <col min="3591" max="3591" width="12.42578125" style="410" customWidth="1"/>
    <col min="3592" max="3592" width="10.140625" style="410" bestFit="1" customWidth="1"/>
    <col min="3593" max="3840" width="9.140625" style="410"/>
    <col min="3841" max="3841" width="3.28515625" style="410" customWidth="1"/>
    <col min="3842" max="3842" width="25.5703125" style="410" customWidth="1"/>
    <col min="3843" max="3843" width="8.7109375" style="410" customWidth="1"/>
    <col min="3844" max="3844" width="5.85546875" style="410" customWidth="1"/>
    <col min="3845" max="3845" width="29.85546875" style="410" customWidth="1"/>
    <col min="3846" max="3846" width="14" style="410" customWidth="1"/>
    <col min="3847" max="3847" width="12.42578125" style="410" customWidth="1"/>
    <col min="3848" max="3848" width="10.140625" style="410" bestFit="1" customWidth="1"/>
    <col min="3849" max="4096" width="9.140625" style="410"/>
    <col min="4097" max="4097" width="3.28515625" style="410" customWidth="1"/>
    <col min="4098" max="4098" width="25.5703125" style="410" customWidth="1"/>
    <col min="4099" max="4099" width="8.7109375" style="410" customWidth="1"/>
    <col min="4100" max="4100" width="5.85546875" style="410" customWidth="1"/>
    <col min="4101" max="4101" width="29.85546875" style="410" customWidth="1"/>
    <col min="4102" max="4102" width="14" style="410" customWidth="1"/>
    <col min="4103" max="4103" width="12.42578125" style="410" customWidth="1"/>
    <col min="4104" max="4104" width="10.140625" style="410" bestFit="1" customWidth="1"/>
    <col min="4105" max="4352" width="9.140625" style="410"/>
    <col min="4353" max="4353" width="3.28515625" style="410" customWidth="1"/>
    <col min="4354" max="4354" width="25.5703125" style="410" customWidth="1"/>
    <col min="4355" max="4355" width="8.7109375" style="410" customWidth="1"/>
    <col min="4356" max="4356" width="5.85546875" style="410" customWidth="1"/>
    <col min="4357" max="4357" width="29.85546875" style="410" customWidth="1"/>
    <col min="4358" max="4358" width="14" style="410" customWidth="1"/>
    <col min="4359" max="4359" width="12.42578125" style="410" customWidth="1"/>
    <col min="4360" max="4360" width="10.140625" style="410" bestFit="1" customWidth="1"/>
    <col min="4361" max="4608" width="9.140625" style="410"/>
    <col min="4609" max="4609" width="3.28515625" style="410" customWidth="1"/>
    <col min="4610" max="4610" width="25.5703125" style="410" customWidth="1"/>
    <col min="4611" max="4611" width="8.7109375" style="410" customWidth="1"/>
    <col min="4612" max="4612" width="5.85546875" style="410" customWidth="1"/>
    <col min="4613" max="4613" width="29.85546875" style="410" customWidth="1"/>
    <col min="4614" max="4614" width="14" style="410" customWidth="1"/>
    <col min="4615" max="4615" width="12.42578125" style="410" customWidth="1"/>
    <col min="4616" max="4616" width="10.140625" style="410" bestFit="1" customWidth="1"/>
    <col min="4617" max="4864" width="9.140625" style="410"/>
    <col min="4865" max="4865" width="3.28515625" style="410" customWidth="1"/>
    <col min="4866" max="4866" width="25.5703125" style="410" customWidth="1"/>
    <col min="4867" max="4867" width="8.7109375" style="410" customWidth="1"/>
    <col min="4868" max="4868" width="5.85546875" style="410" customWidth="1"/>
    <col min="4869" max="4869" width="29.85546875" style="410" customWidth="1"/>
    <col min="4870" max="4870" width="14" style="410" customWidth="1"/>
    <col min="4871" max="4871" width="12.42578125" style="410" customWidth="1"/>
    <col min="4872" max="4872" width="10.140625" style="410" bestFit="1" customWidth="1"/>
    <col min="4873" max="5120" width="9.140625" style="410"/>
    <col min="5121" max="5121" width="3.28515625" style="410" customWidth="1"/>
    <col min="5122" max="5122" width="25.5703125" style="410" customWidth="1"/>
    <col min="5123" max="5123" width="8.7109375" style="410" customWidth="1"/>
    <col min="5124" max="5124" width="5.85546875" style="410" customWidth="1"/>
    <col min="5125" max="5125" width="29.85546875" style="410" customWidth="1"/>
    <col min="5126" max="5126" width="14" style="410" customWidth="1"/>
    <col min="5127" max="5127" width="12.42578125" style="410" customWidth="1"/>
    <col min="5128" max="5128" width="10.140625" style="410" bestFit="1" customWidth="1"/>
    <col min="5129" max="5376" width="9.140625" style="410"/>
    <col min="5377" max="5377" width="3.28515625" style="410" customWidth="1"/>
    <col min="5378" max="5378" width="25.5703125" style="410" customWidth="1"/>
    <col min="5379" max="5379" width="8.7109375" style="410" customWidth="1"/>
    <col min="5380" max="5380" width="5.85546875" style="410" customWidth="1"/>
    <col min="5381" max="5381" width="29.85546875" style="410" customWidth="1"/>
    <col min="5382" max="5382" width="14" style="410" customWidth="1"/>
    <col min="5383" max="5383" width="12.42578125" style="410" customWidth="1"/>
    <col min="5384" max="5384" width="10.140625" style="410" bestFit="1" customWidth="1"/>
    <col min="5385" max="5632" width="9.140625" style="410"/>
    <col min="5633" max="5633" width="3.28515625" style="410" customWidth="1"/>
    <col min="5634" max="5634" width="25.5703125" style="410" customWidth="1"/>
    <col min="5635" max="5635" width="8.7109375" style="410" customWidth="1"/>
    <col min="5636" max="5636" width="5.85546875" style="410" customWidth="1"/>
    <col min="5637" max="5637" width="29.85546875" style="410" customWidth="1"/>
    <col min="5638" max="5638" width="14" style="410" customWidth="1"/>
    <col min="5639" max="5639" width="12.42578125" style="410" customWidth="1"/>
    <col min="5640" max="5640" width="10.140625" style="410" bestFit="1" customWidth="1"/>
    <col min="5641" max="5888" width="9.140625" style="410"/>
    <col min="5889" max="5889" width="3.28515625" style="410" customWidth="1"/>
    <col min="5890" max="5890" width="25.5703125" style="410" customWidth="1"/>
    <col min="5891" max="5891" width="8.7109375" style="410" customWidth="1"/>
    <col min="5892" max="5892" width="5.85546875" style="410" customWidth="1"/>
    <col min="5893" max="5893" width="29.85546875" style="410" customWidth="1"/>
    <col min="5894" max="5894" width="14" style="410" customWidth="1"/>
    <col min="5895" max="5895" width="12.42578125" style="410" customWidth="1"/>
    <col min="5896" max="5896" width="10.140625" style="410" bestFit="1" customWidth="1"/>
    <col min="5897" max="6144" width="9.140625" style="410"/>
    <col min="6145" max="6145" width="3.28515625" style="410" customWidth="1"/>
    <col min="6146" max="6146" width="25.5703125" style="410" customWidth="1"/>
    <col min="6147" max="6147" width="8.7109375" style="410" customWidth="1"/>
    <col min="6148" max="6148" width="5.85546875" style="410" customWidth="1"/>
    <col min="6149" max="6149" width="29.85546875" style="410" customWidth="1"/>
    <col min="6150" max="6150" width="14" style="410" customWidth="1"/>
    <col min="6151" max="6151" width="12.42578125" style="410" customWidth="1"/>
    <col min="6152" max="6152" width="10.140625" style="410" bestFit="1" customWidth="1"/>
    <col min="6153" max="6400" width="9.140625" style="410"/>
    <col min="6401" max="6401" width="3.28515625" style="410" customWidth="1"/>
    <col min="6402" max="6402" width="25.5703125" style="410" customWidth="1"/>
    <col min="6403" max="6403" width="8.7109375" style="410" customWidth="1"/>
    <col min="6404" max="6404" width="5.85546875" style="410" customWidth="1"/>
    <col min="6405" max="6405" width="29.85546875" style="410" customWidth="1"/>
    <col min="6406" max="6406" width="14" style="410" customWidth="1"/>
    <col min="6407" max="6407" width="12.42578125" style="410" customWidth="1"/>
    <col min="6408" max="6408" width="10.140625" style="410" bestFit="1" customWidth="1"/>
    <col min="6409" max="6656" width="9.140625" style="410"/>
    <col min="6657" max="6657" width="3.28515625" style="410" customWidth="1"/>
    <col min="6658" max="6658" width="25.5703125" style="410" customWidth="1"/>
    <col min="6659" max="6659" width="8.7109375" style="410" customWidth="1"/>
    <col min="6660" max="6660" width="5.85546875" style="410" customWidth="1"/>
    <col min="6661" max="6661" width="29.85546875" style="410" customWidth="1"/>
    <col min="6662" max="6662" width="14" style="410" customWidth="1"/>
    <col min="6663" max="6663" width="12.42578125" style="410" customWidth="1"/>
    <col min="6664" max="6664" width="10.140625" style="410" bestFit="1" customWidth="1"/>
    <col min="6665" max="6912" width="9.140625" style="410"/>
    <col min="6913" max="6913" width="3.28515625" style="410" customWidth="1"/>
    <col min="6914" max="6914" width="25.5703125" style="410" customWidth="1"/>
    <col min="6915" max="6915" width="8.7109375" style="410" customWidth="1"/>
    <col min="6916" max="6916" width="5.85546875" style="410" customWidth="1"/>
    <col min="6917" max="6917" width="29.85546875" style="410" customWidth="1"/>
    <col min="6918" max="6918" width="14" style="410" customWidth="1"/>
    <col min="6919" max="6919" width="12.42578125" style="410" customWidth="1"/>
    <col min="6920" max="6920" width="10.140625" style="410" bestFit="1" customWidth="1"/>
    <col min="6921" max="7168" width="9.140625" style="410"/>
    <col min="7169" max="7169" width="3.28515625" style="410" customWidth="1"/>
    <col min="7170" max="7170" width="25.5703125" style="410" customWidth="1"/>
    <col min="7171" max="7171" width="8.7109375" style="410" customWidth="1"/>
    <col min="7172" max="7172" width="5.85546875" style="410" customWidth="1"/>
    <col min="7173" max="7173" width="29.85546875" style="410" customWidth="1"/>
    <col min="7174" max="7174" width="14" style="410" customWidth="1"/>
    <col min="7175" max="7175" width="12.42578125" style="410" customWidth="1"/>
    <col min="7176" max="7176" width="10.140625" style="410" bestFit="1" customWidth="1"/>
    <col min="7177" max="7424" width="9.140625" style="410"/>
    <col min="7425" max="7425" width="3.28515625" style="410" customWidth="1"/>
    <col min="7426" max="7426" width="25.5703125" style="410" customWidth="1"/>
    <col min="7427" max="7427" width="8.7109375" style="410" customWidth="1"/>
    <col min="7428" max="7428" width="5.85546875" style="410" customWidth="1"/>
    <col min="7429" max="7429" width="29.85546875" style="410" customWidth="1"/>
    <col min="7430" max="7430" width="14" style="410" customWidth="1"/>
    <col min="7431" max="7431" width="12.42578125" style="410" customWidth="1"/>
    <col min="7432" max="7432" width="10.140625" style="410" bestFit="1" customWidth="1"/>
    <col min="7433" max="7680" width="9.140625" style="410"/>
    <col min="7681" max="7681" width="3.28515625" style="410" customWidth="1"/>
    <col min="7682" max="7682" width="25.5703125" style="410" customWidth="1"/>
    <col min="7683" max="7683" width="8.7109375" style="410" customWidth="1"/>
    <col min="7684" max="7684" width="5.85546875" style="410" customWidth="1"/>
    <col min="7685" max="7685" width="29.85546875" style="410" customWidth="1"/>
    <col min="7686" max="7686" width="14" style="410" customWidth="1"/>
    <col min="7687" max="7687" width="12.42578125" style="410" customWidth="1"/>
    <col min="7688" max="7688" width="10.140625" style="410" bestFit="1" customWidth="1"/>
    <col min="7689" max="7936" width="9.140625" style="410"/>
    <col min="7937" max="7937" width="3.28515625" style="410" customWidth="1"/>
    <col min="7938" max="7938" width="25.5703125" style="410" customWidth="1"/>
    <col min="7939" max="7939" width="8.7109375" style="410" customWidth="1"/>
    <col min="7940" max="7940" width="5.85546875" style="410" customWidth="1"/>
    <col min="7941" max="7941" width="29.85546875" style="410" customWidth="1"/>
    <col min="7942" max="7942" width="14" style="410" customWidth="1"/>
    <col min="7943" max="7943" width="12.42578125" style="410" customWidth="1"/>
    <col min="7944" max="7944" width="10.140625" style="410" bestFit="1" customWidth="1"/>
    <col min="7945" max="8192" width="9.140625" style="410"/>
    <col min="8193" max="8193" width="3.28515625" style="410" customWidth="1"/>
    <col min="8194" max="8194" width="25.5703125" style="410" customWidth="1"/>
    <col min="8195" max="8195" width="8.7109375" style="410" customWidth="1"/>
    <col min="8196" max="8196" width="5.85546875" style="410" customWidth="1"/>
    <col min="8197" max="8197" width="29.85546875" style="410" customWidth="1"/>
    <col min="8198" max="8198" width="14" style="410" customWidth="1"/>
    <col min="8199" max="8199" width="12.42578125" style="410" customWidth="1"/>
    <col min="8200" max="8200" width="10.140625" style="410" bestFit="1" customWidth="1"/>
    <col min="8201" max="8448" width="9.140625" style="410"/>
    <col min="8449" max="8449" width="3.28515625" style="410" customWidth="1"/>
    <col min="8450" max="8450" width="25.5703125" style="410" customWidth="1"/>
    <col min="8451" max="8451" width="8.7109375" style="410" customWidth="1"/>
    <col min="8452" max="8452" width="5.85546875" style="410" customWidth="1"/>
    <col min="8453" max="8453" width="29.85546875" style="410" customWidth="1"/>
    <col min="8454" max="8454" width="14" style="410" customWidth="1"/>
    <col min="8455" max="8455" width="12.42578125" style="410" customWidth="1"/>
    <col min="8456" max="8456" width="10.140625" style="410" bestFit="1" customWidth="1"/>
    <col min="8457" max="8704" width="9.140625" style="410"/>
    <col min="8705" max="8705" width="3.28515625" style="410" customWidth="1"/>
    <col min="8706" max="8706" width="25.5703125" style="410" customWidth="1"/>
    <col min="8707" max="8707" width="8.7109375" style="410" customWidth="1"/>
    <col min="8708" max="8708" width="5.85546875" style="410" customWidth="1"/>
    <col min="8709" max="8709" width="29.85546875" style="410" customWidth="1"/>
    <col min="8710" max="8710" width="14" style="410" customWidth="1"/>
    <col min="8711" max="8711" width="12.42578125" style="410" customWidth="1"/>
    <col min="8712" max="8712" width="10.140625" style="410" bestFit="1" customWidth="1"/>
    <col min="8713" max="8960" width="9.140625" style="410"/>
    <col min="8961" max="8961" width="3.28515625" style="410" customWidth="1"/>
    <col min="8962" max="8962" width="25.5703125" style="410" customWidth="1"/>
    <col min="8963" max="8963" width="8.7109375" style="410" customWidth="1"/>
    <col min="8964" max="8964" width="5.85546875" style="410" customWidth="1"/>
    <col min="8965" max="8965" width="29.85546875" style="410" customWidth="1"/>
    <col min="8966" max="8966" width="14" style="410" customWidth="1"/>
    <col min="8967" max="8967" width="12.42578125" style="410" customWidth="1"/>
    <col min="8968" max="8968" width="10.140625" style="410" bestFit="1" customWidth="1"/>
    <col min="8969" max="9216" width="9.140625" style="410"/>
    <col min="9217" max="9217" width="3.28515625" style="410" customWidth="1"/>
    <col min="9218" max="9218" width="25.5703125" style="410" customWidth="1"/>
    <col min="9219" max="9219" width="8.7109375" style="410" customWidth="1"/>
    <col min="9220" max="9220" width="5.85546875" style="410" customWidth="1"/>
    <col min="9221" max="9221" width="29.85546875" style="410" customWidth="1"/>
    <col min="9222" max="9222" width="14" style="410" customWidth="1"/>
    <col min="9223" max="9223" width="12.42578125" style="410" customWidth="1"/>
    <col min="9224" max="9224" width="10.140625" style="410" bestFit="1" customWidth="1"/>
    <col min="9225" max="9472" width="9.140625" style="410"/>
    <col min="9473" max="9473" width="3.28515625" style="410" customWidth="1"/>
    <col min="9474" max="9474" width="25.5703125" style="410" customWidth="1"/>
    <col min="9475" max="9475" width="8.7109375" style="410" customWidth="1"/>
    <col min="9476" max="9476" width="5.85546875" style="410" customWidth="1"/>
    <col min="9477" max="9477" width="29.85546875" style="410" customWidth="1"/>
    <col min="9478" max="9478" width="14" style="410" customWidth="1"/>
    <col min="9479" max="9479" width="12.42578125" style="410" customWidth="1"/>
    <col min="9480" max="9480" width="10.140625" style="410" bestFit="1" customWidth="1"/>
    <col min="9481" max="9728" width="9.140625" style="410"/>
    <col min="9729" max="9729" width="3.28515625" style="410" customWidth="1"/>
    <col min="9730" max="9730" width="25.5703125" style="410" customWidth="1"/>
    <col min="9731" max="9731" width="8.7109375" style="410" customWidth="1"/>
    <col min="9732" max="9732" width="5.85546875" style="410" customWidth="1"/>
    <col min="9733" max="9733" width="29.85546875" style="410" customWidth="1"/>
    <col min="9734" max="9734" width="14" style="410" customWidth="1"/>
    <col min="9735" max="9735" width="12.42578125" style="410" customWidth="1"/>
    <col min="9736" max="9736" width="10.140625" style="410" bestFit="1" customWidth="1"/>
    <col min="9737" max="9984" width="9.140625" style="410"/>
    <col min="9985" max="9985" width="3.28515625" style="410" customWidth="1"/>
    <col min="9986" max="9986" width="25.5703125" style="410" customWidth="1"/>
    <col min="9987" max="9987" width="8.7109375" style="410" customWidth="1"/>
    <col min="9988" max="9988" width="5.85546875" style="410" customWidth="1"/>
    <col min="9989" max="9989" width="29.85546875" style="410" customWidth="1"/>
    <col min="9990" max="9990" width="14" style="410" customWidth="1"/>
    <col min="9991" max="9991" width="12.42578125" style="410" customWidth="1"/>
    <col min="9992" max="9992" width="10.140625" style="410" bestFit="1" customWidth="1"/>
    <col min="9993" max="10240" width="9.140625" style="410"/>
    <col min="10241" max="10241" width="3.28515625" style="410" customWidth="1"/>
    <col min="10242" max="10242" width="25.5703125" style="410" customWidth="1"/>
    <col min="10243" max="10243" width="8.7109375" style="410" customWidth="1"/>
    <col min="10244" max="10244" width="5.85546875" style="410" customWidth="1"/>
    <col min="10245" max="10245" width="29.85546875" style="410" customWidth="1"/>
    <col min="10246" max="10246" width="14" style="410" customWidth="1"/>
    <col min="10247" max="10247" width="12.42578125" style="410" customWidth="1"/>
    <col min="10248" max="10248" width="10.140625" style="410" bestFit="1" customWidth="1"/>
    <col min="10249" max="10496" width="9.140625" style="410"/>
    <col min="10497" max="10497" width="3.28515625" style="410" customWidth="1"/>
    <col min="10498" max="10498" width="25.5703125" style="410" customWidth="1"/>
    <col min="10499" max="10499" width="8.7109375" style="410" customWidth="1"/>
    <col min="10500" max="10500" width="5.85546875" style="410" customWidth="1"/>
    <col min="10501" max="10501" width="29.85546875" style="410" customWidth="1"/>
    <col min="10502" max="10502" width="14" style="410" customWidth="1"/>
    <col min="10503" max="10503" width="12.42578125" style="410" customWidth="1"/>
    <col min="10504" max="10504" width="10.140625" style="410" bestFit="1" customWidth="1"/>
    <col min="10505" max="10752" width="9.140625" style="410"/>
    <col min="10753" max="10753" width="3.28515625" style="410" customWidth="1"/>
    <col min="10754" max="10754" width="25.5703125" style="410" customWidth="1"/>
    <col min="10755" max="10755" width="8.7109375" style="410" customWidth="1"/>
    <col min="10756" max="10756" width="5.85546875" style="410" customWidth="1"/>
    <col min="10757" max="10757" width="29.85546875" style="410" customWidth="1"/>
    <col min="10758" max="10758" width="14" style="410" customWidth="1"/>
    <col min="10759" max="10759" width="12.42578125" style="410" customWidth="1"/>
    <col min="10760" max="10760" width="10.140625" style="410" bestFit="1" customWidth="1"/>
    <col min="10761" max="11008" width="9.140625" style="410"/>
    <col min="11009" max="11009" width="3.28515625" style="410" customWidth="1"/>
    <col min="11010" max="11010" width="25.5703125" style="410" customWidth="1"/>
    <col min="11011" max="11011" width="8.7109375" style="410" customWidth="1"/>
    <col min="11012" max="11012" width="5.85546875" style="410" customWidth="1"/>
    <col min="11013" max="11013" width="29.85546875" style="410" customWidth="1"/>
    <col min="11014" max="11014" width="14" style="410" customWidth="1"/>
    <col min="11015" max="11015" width="12.42578125" style="410" customWidth="1"/>
    <col min="11016" max="11016" width="10.140625" style="410" bestFit="1" customWidth="1"/>
    <col min="11017" max="11264" width="9.140625" style="410"/>
    <col min="11265" max="11265" width="3.28515625" style="410" customWidth="1"/>
    <col min="11266" max="11266" width="25.5703125" style="410" customWidth="1"/>
    <col min="11267" max="11267" width="8.7109375" style="410" customWidth="1"/>
    <col min="11268" max="11268" width="5.85546875" style="410" customWidth="1"/>
    <col min="11269" max="11269" width="29.85546875" style="410" customWidth="1"/>
    <col min="11270" max="11270" width="14" style="410" customWidth="1"/>
    <col min="11271" max="11271" width="12.42578125" style="410" customWidth="1"/>
    <col min="11272" max="11272" width="10.140625" style="410" bestFit="1" customWidth="1"/>
    <col min="11273" max="11520" width="9.140625" style="410"/>
    <col min="11521" max="11521" width="3.28515625" style="410" customWidth="1"/>
    <col min="11522" max="11522" width="25.5703125" style="410" customWidth="1"/>
    <col min="11523" max="11523" width="8.7109375" style="410" customWidth="1"/>
    <col min="11524" max="11524" width="5.85546875" style="410" customWidth="1"/>
    <col min="11525" max="11525" width="29.85546875" style="410" customWidth="1"/>
    <col min="11526" max="11526" width="14" style="410" customWidth="1"/>
    <col min="11527" max="11527" width="12.42578125" style="410" customWidth="1"/>
    <col min="11528" max="11528" width="10.140625" style="410" bestFit="1" customWidth="1"/>
    <col min="11529" max="11776" width="9.140625" style="410"/>
    <col min="11777" max="11777" width="3.28515625" style="410" customWidth="1"/>
    <col min="11778" max="11778" width="25.5703125" style="410" customWidth="1"/>
    <col min="11779" max="11779" width="8.7109375" style="410" customWidth="1"/>
    <col min="11780" max="11780" width="5.85546875" style="410" customWidth="1"/>
    <col min="11781" max="11781" width="29.85546875" style="410" customWidth="1"/>
    <col min="11782" max="11782" width="14" style="410" customWidth="1"/>
    <col min="11783" max="11783" width="12.42578125" style="410" customWidth="1"/>
    <col min="11784" max="11784" width="10.140625" style="410" bestFit="1" customWidth="1"/>
    <col min="11785" max="12032" width="9.140625" style="410"/>
    <col min="12033" max="12033" width="3.28515625" style="410" customWidth="1"/>
    <col min="12034" max="12034" width="25.5703125" style="410" customWidth="1"/>
    <col min="12035" max="12035" width="8.7109375" style="410" customWidth="1"/>
    <col min="12036" max="12036" width="5.85546875" style="410" customWidth="1"/>
    <col min="12037" max="12037" width="29.85546875" style="410" customWidth="1"/>
    <col min="12038" max="12038" width="14" style="410" customWidth="1"/>
    <col min="12039" max="12039" width="12.42578125" style="410" customWidth="1"/>
    <col min="12040" max="12040" width="10.140625" style="410" bestFit="1" customWidth="1"/>
    <col min="12041" max="12288" width="9.140625" style="410"/>
    <col min="12289" max="12289" width="3.28515625" style="410" customWidth="1"/>
    <col min="12290" max="12290" width="25.5703125" style="410" customWidth="1"/>
    <col min="12291" max="12291" width="8.7109375" style="410" customWidth="1"/>
    <col min="12292" max="12292" width="5.85546875" style="410" customWidth="1"/>
    <col min="12293" max="12293" width="29.85546875" style="410" customWidth="1"/>
    <col min="12294" max="12294" width="14" style="410" customWidth="1"/>
    <col min="12295" max="12295" width="12.42578125" style="410" customWidth="1"/>
    <col min="12296" max="12296" width="10.140625" style="410" bestFit="1" customWidth="1"/>
    <col min="12297" max="12544" width="9.140625" style="410"/>
    <col min="12545" max="12545" width="3.28515625" style="410" customWidth="1"/>
    <col min="12546" max="12546" width="25.5703125" style="410" customWidth="1"/>
    <col min="12547" max="12547" width="8.7109375" style="410" customWidth="1"/>
    <col min="12548" max="12548" width="5.85546875" style="410" customWidth="1"/>
    <col min="12549" max="12549" width="29.85546875" style="410" customWidth="1"/>
    <col min="12550" max="12550" width="14" style="410" customWidth="1"/>
    <col min="12551" max="12551" width="12.42578125" style="410" customWidth="1"/>
    <col min="12552" max="12552" width="10.140625" style="410" bestFit="1" customWidth="1"/>
    <col min="12553" max="12800" width="9.140625" style="410"/>
    <col min="12801" max="12801" width="3.28515625" style="410" customWidth="1"/>
    <col min="12802" max="12802" width="25.5703125" style="410" customWidth="1"/>
    <col min="12803" max="12803" width="8.7109375" style="410" customWidth="1"/>
    <col min="12804" max="12804" width="5.85546875" style="410" customWidth="1"/>
    <col min="12805" max="12805" width="29.85546875" style="410" customWidth="1"/>
    <col min="12806" max="12806" width="14" style="410" customWidth="1"/>
    <col min="12807" max="12807" width="12.42578125" style="410" customWidth="1"/>
    <col min="12808" max="12808" width="10.140625" style="410" bestFit="1" customWidth="1"/>
    <col min="12809" max="13056" width="9.140625" style="410"/>
    <col min="13057" max="13057" width="3.28515625" style="410" customWidth="1"/>
    <col min="13058" max="13058" width="25.5703125" style="410" customWidth="1"/>
    <col min="13059" max="13059" width="8.7109375" style="410" customWidth="1"/>
    <col min="13060" max="13060" width="5.85546875" style="410" customWidth="1"/>
    <col min="13061" max="13061" width="29.85546875" style="410" customWidth="1"/>
    <col min="13062" max="13062" width="14" style="410" customWidth="1"/>
    <col min="13063" max="13063" width="12.42578125" style="410" customWidth="1"/>
    <col min="13064" max="13064" width="10.140625" style="410" bestFit="1" customWidth="1"/>
    <col min="13065" max="13312" width="9.140625" style="410"/>
    <col min="13313" max="13313" width="3.28515625" style="410" customWidth="1"/>
    <col min="13314" max="13314" width="25.5703125" style="410" customWidth="1"/>
    <col min="13315" max="13315" width="8.7109375" style="410" customWidth="1"/>
    <col min="13316" max="13316" width="5.85546875" style="410" customWidth="1"/>
    <col min="13317" max="13317" width="29.85546875" style="410" customWidth="1"/>
    <col min="13318" max="13318" width="14" style="410" customWidth="1"/>
    <col min="13319" max="13319" width="12.42578125" style="410" customWidth="1"/>
    <col min="13320" max="13320" width="10.140625" style="410" bestFit="1" customWidth="1"/>
    <col min="13321" max="13568" width="9.140625" style="410"/>
    <col min="13569" max="13569" width="3.28515625" style="410" customWidth="1"/>
    <col min="13570" max="13570" width="25.5703125" style="410" customWidth="1"/>
    <col min="13571" max="13571" width="8.7109375" style="410" customWidth="1"/>
    <col min="13572" max="13572" width="5.85546875" style="410" customWidth="1"/>
    <col min="13573" max="13573" width="29.85546875" style="410" customWidth="1"/>
    <col min="13574" max="13574" width="14" style="410" customWidth="1"/>
    <col min="13575" max="13575" width="12.42578125" style="410" customWidth="1"/>
    <col min="13576" max="13576" width="10.140625" style="410" bestFit="1" customWidth="1"/>
    <col min="13577" max="13824" width="9.140625" style="410"/>
    <col min="13825" max="13825" width="3.28515625" style="410" customWidth="1"/>
    <col min="13826" max="13826" width="25.5703125" style="410" customWidth="1"/>
    <col min="13827" max="13827" width="8.7109375" style="410" customWidth="1"/>
    <col min="13828" max="13828" width="5.85546875" style="410" customWidth="1"/>
    <col min="13829" max="13829" width="29.85546875" style="410" customWidth="1"/>
    <col min="13830" max="13830" width="14" style="410" customWidth="1"/>
    <col min="13831" max="13831" width="12.42578125" style="410" customWidth="1"/>
    <col min="13832" max="13832" width="10.140625" style="410" bestFit="1" customWidth="1"/>
    <col min="13833" max="14080" width="9.140625" style="410"/>
    <col min="14081" max="14081" width="3.28515625" style="410" customWidth="1"/>
    <col min="14082" max="14082" width="25.5703125" style="410" customWidth="1"/>
    <col min="14083" max="14083" width="8.7109375" style="410" customWidth="1"/>
    <col min="14084" max="14084" width="5.85546875" style="410" customWidth="1"/>
    <col min="14085" max="14085" width="29.85546875" style="410" customWidth="1"/>
    <col min="14086" max="14086" width="14" style="410" customWidth="1"/>
    <col min="14087" max="14087" width="12.42578125" style="410" customWidth="1"/>
    <col min="14088" max="14088" width="10.140625" style="410" bestFit="1" customWidth="1"/>
    <col min="14089" max="14336" width="9.140625" style="410"/>
    <col min="14337" max="14337" width="3.28515625" style="410" customWidth="1"/>
    <col min="14338" max="14338" width="25.5703125" style="410" customWidth="1"/>
    <col min="14339" max="14339" width="8.7109375" style="410" customWidth="1"/>
    <col min="14340" max="14340" width="5.85546875" style="410" customWidth="1"/>
    <col min="14341" max="14341" width="29.85546875" style="410" customWidth="1"/>
    <col min="14342" max="14342" width="14" style="410" customWidth="1"/>
    <col min="14343" max="14343" width="12.42578125" style="410" customWidth="1"/>
    <col min="14344" max="14344" width="10.140625" style="410" bestFit="1" customWidth="1"/>
    <col min="14345" max="14592" width="9.140625" style="410"/>
    <col min="14593" max="14593" width="3.28515625" style="410" customWidth="1"/>
    <col min="14594" max="14594" width="25.5703125" style="410" customWidth="1"/>
    <col min="14595" max="14595" width="8.7109375" style="410" customWidth="1"/>
    <col min="14596" max="14596" width="5.85546875" style="410" customWidth="1"/>
    <col min="14597" max="14597" width="29.85546875" style="410" customWidth="1"/>
    <col min="14598" max="14598" width="14" style="410" customWidth="1"/>
    <col min="14599" max="14599" width="12.42578125" style="410" customWidth="1"/>
    <col min="14600" max="14600" width="10.140625" style="410" bestFit="1" customWidth="1"/>
    <col min="14601" max="14848" width="9.140625" style="410"/>
    <col min="14849" max="14849" width="3.28515625" style="410" customWidth="1"/>
    <col min="14850" max="14850" width="25.5703125" style="410" customWidth="1"/>
    <col min="14851" max="14851" width="8.7109375" style="410" customWidth="1"/>
    <col min="14852" max="14852" width="5.85546875" style="410" customWidth="1"/>
    <col min="14853" max="14853" width="29.85546875" style="410" customWidth="1"/>
    <col min="14854" max="14854" width="14" style="410" customWidth="1"/>
    <col min="14855" max="14855" width="12.42578125" style="410" customWidth="1"/>
    <col min="14856" max="14856" width="10.140625" style="410" bestFit="1" customWidth="1"/>
    <col min="14857" max="15104" width="9.140625" style="410"/>
    <col min="15105" max="15105" width="3.28515625" style="410" customWidth="1"/>
    <col min="15106" max="15106" width="25.5703125" style="410" customWidth="1"/>
    <col min="15107" max="15107" width="8.7109375" style="410" customWidth="1"/>
    <col min="15108" max="15108" width="5.85546875" style="410" customWidth="1"/>
    <col min="15109" max="15109" width="29.85546875" style="410" customWidth="1"/>
    <col min="15110" max="15110" width="14" style="410" customWidth="1"/>
    <col min="15111" max="15111" width="12.42578125" style="410" customWidth="1"/>
    <col min="15112" max="15112" width="10.140625" style="410" bestFit="1" customWidth="1"/>
    <col min="15113" max="15360" width="9.140625" style="410"/>
    <col min="15361" max="15361" width="3.28515625" style="410" customWidth="1"/>
    <col min="15362" max="15362" width="25.5703125" style="410" customWidth="1"/>
    <col min="15363" max="15363" width="8.7109375" style="410" customWidth="1"/>
    <col min="15364" max="15364" width="5.85546875" style="410" customWidth="1"/>
    <col min="15365" max="15365" width="29.85546875" style="410" customWidth="1"/>
    <col min="15366" max="15366" width="14" style="410" customWidth="1"/>
    <col min="15367" max="15367" width="12.42578125" style="410" customWidth="1"/>
    <col min="15368" max="15368" width="10.140625" style="410" bestFit="1" customWidth="1"/>
    <col min="15369" max="15616" width="9.140625" style="410"/>
    <col min="15617" max="15617" width="3.28515625" style="410" customWidth="1"/>
    <col min="15618" max="15618" width="25.5703125" style="410" customWidth="1"/>
    <col min="15619" max="15619" width="8.7109375" style="410" customWidth="1"/>
    <col min="15620" max="15620" width="5.85546875" style="410" customWidth="1"/>
    <col min="15621" max="15621" width="29.85546875" style="410" customWidth="1"/>
    <col min="15622" max="15622" width="14" style="410" customWidth="1"/>
    <col min="15623" max="15623" width="12.42578125" style="410" customWidth="1"/>
    <col min="15624" max="15624" width="10.140625" style="410" bestFit="1" customWidth="1"/>
    <col min="15625" max="15872" width="9.140625" style="410"/>
    <col min="15873" max="15873" width="3.28515625" style="410" customWidth="1"/>
    <col min="15874" max="15874" width="25.5703125" style="410" customWidth="1"/>
    <col min="15875" max="15875" width="8.7109375" style="410" customWidth="1"/>
    <col min="15876" max="15876" width="5.85546875" style="410" customWidth="1"/>
    <col min="15877" max="15877" width="29.85546875" style="410" customWidth="1"/>
    <col min="15878" max="15878" width="14" style="410" customWidth="1"/>
    <col min="15879" max="15879" width="12.42578125" style="410" customWidth="1"/>
    <col min="15880" max="15880" width="10.140625" style="410" bestFit="1" customWidth="1"/>
    <col min="15881" max="16128" width="9.140625" style="410"/>
    <col min="16129" max="16129" width="3.28515625" style="410" customWidth="1"/>
    <col min="16130" max="16130" width="25.5703125" style="410" customWidth="1"/>
    <col min="16131" max="16131" width="8.7109375" style="410" customWidth="1"/>
    <col min="16132" max="16132" width="5.85546875" style="410" customWidth="1"/>
    <col min="16133" max="16133" width="29.85546875" style="410" customWidth="1"/>
    <col min="16134" max="16134" width="14" style="410" customWidth="1"/>
    <col min="16135" max="16135" width="12.42578125" style="410" customWidth="1"/>
    <col min="16136" max="16136" width="10.140625" style="410" bestFit="1" customWidth="1"/>
    <col min="16137" max="16384" width="9.140625" style="410"/>
  </cols>
  <sheetData>
    <row r="1" spans="1:12" s="592" customFormat="1" ht="17.25" customHeight="1" x14ac:dyDescent="0.2">
      <c r="B1" s="707" t="s">
        <v>129</v>
      </c>
      <c r="C1" s="707"/>
      <c r="D1" s="707" t="s">
        <v>130</v>
      </c>
      <c r="E1" s="707"/>
    </row>
    <row r="2" spans="1:12" s="592" customFormat="1" ht="9" customHeight="1" x14ac:dyDescent="0.2">
      <c r="B2" s="708"/>
      <c r="C2" s="708"/>
      <c r="D2" s="709"/>
      <c r="E2" s="709"/>
    </row>
    <row r="3" spans="1:12" s="592" customFormat="1" ht="17.25" customHeight="1" x14ac:dyDescent="0.2">
      <c r="B3" s="711" t="s">
        <v>468</v>
      </c>
      <c r="C3" s="711"/>
      <c r="D3" s="711" t="s">
        <v>468</v>
      </c>
      <c r="E3" s="711"/>
    </row>
    <row r="4" spans="1:12" s="592" customFormat="1" ht="17.25" customHeight="1" x14ac:dyDescent="0.2">
      <c r="B4" s="710"/>
      <c r="C4" s="710"/>
      <c r="D4" s="711"/>
      <c r="E4" s="711"/>
    </row>
    <row r="5" spans="1:12" s="592" customFormat="1" ht="17.25" customHeight="1" x14ac:dyDescent="0.2">
      <c r="B5" s="711" t="s">
        <v>469</v>
      </c>
      <c r="C5" s="711"/>
      <c r="D5" s="711" t="s">
        <v>469</v>
      </c>
      <c r="E5" s="711"/>
    </row>
    <row r="6" spans="1:12" x14ac:dyDescent="0.2">
      <c r="A6" s="414"/>
      <c r="B6" s="415"/>
      <c r="C6" s="414"/>
      <c r="D6" s="415"/>
      <c r="E6" s="756"/>
      <c r="F6" s="756"/>
      <c r="G6" s="756"/>
    </row>
    <row r="7" spans="1:12" ht="15.75" x14ac:dyDescent="0.25">
      <c r="A7" s="755" t="s">
        <v>470</v>
      </c>
      <c r="B7" s="755"/>
      <c r="C7" s="755"/>
      <c r="D7" s="755"/>
      <c r="E7" s="755"/>
      <c r="F7" s="755"/>
      <c r="G7" s="755"/>
      <c r="H7" s="593"/>
      <c r="I7" s="593">
        <v>23.3</v>
      </c>
      <c r="J7" s="593"/>
      <c r="K7" s="593"/>
      <c r="L7" s="593"/>
    </row>
    <row r="8" spans="1:12" x14ac:dyDescent="0.2">
      <c r="A8" s="749" t="str">
        <f>[42]ССР!A11</f>
        <v>на выполнение проектно-изыскательских работ по</v>
      </c>
      <c r="B8" s="749"/>
      <c r="C8" s="749"/>
      <c r="D8" s="749"/>
      <c r="E8" s="749"/>
      <c r="F8" s="749"/>
      <c r="G8" s="749"/>
      <c r="I8" s="594">
        <v>42.6</v>
      </c>
    </row>
    <row r="9" spans="1:12" x14ac:dyDescent="0.2">
      <c r="A9" s="750" t="s">
        <v>471</v>
      </c>
      <c r="B9" s="750"/>
      <c r="C9" s="750"/>
      <c r="D9" s="750"/>
      <c r="E9" s="750"/>
      <c r="F9" s="750"/>
      <c r="G9" s="750"/>
      <c r="I9" s="594">
        <v>7.6</v>
      </c>
    </row>
    <row r="10" spans="1:12" x14ac:dyDescent="0.2">
      <c r="A10" s="749" t="s">
        <v>472</v>
      </c>
      <c r="B10" s="750"/>
      <c r="C10" s="750"/>
      <c r="D10" s="750"/>
      <c r="E10" s="750"/>
      <c r="F10" s="750"/>
      <c r="G10" s="750"/>
      <c r="I10" s="595">
        <f>I9</f>
        <v>7.6</v>
      </c>
    </row>
    <row r="11" spans="1:12" x14ac:dyDescent="0.2">
      <c r="A11" s="750" t="s">
        <v>371</v>
      </c>
      <c r="B11" s="750"/>
      <c r="C11" s="750"/>
      <c r="D11" s="750"/>
      <c r="E11" s="750"/>
      <c r="F11" s="750"/>
      <c r="G11" s="750"/>
      <c r="I11" s="594">
        <v>18.8</v>
      </c>
    </row>
    <row r="12" spans="1:12" ht="35.25" customHeight="1" x14ac:dyDescent="0.2">
      <c r="A12" s="751"/>
      <c r="B12" s="751"/>
      <c r="C12" s="751"/>
      <c r="D12" s="751"/>
      <c r="E12" s="751"/>
      <c r="F12" s="751"/>
      <c r="G12" s="751"/>
      <c r="I12" s="594"/>
    </row>
    <row r="13" spans="1:12" ht="21" customHeight="1" thickBot="1" x14ac:dyDescent="0.25">
      <c r="I13" s="594">
        <v>6.1</v>
      </c>
    </row>
    <row r="14" spans="1:12" ht="57" thickBot="1" x14ac:dyDescent="0.25">
      <c r="A14" s="421" t="s">
        <v>62</v>
      </c>
      <c r="B14" s="421" t="s">
        <v>271</v>
      </c>
      <c r="C14" s="421" t="s">
        <v>64</v>
      </c>
      <c r="D14" s="421" t="s">
        <v>272</v>
      </c>
      <c r="E14" s="423" t="s">
        <v>273</v>
      </c>
      <c r="F14" s="424" t="s">
        <v>274</v>
      </c>
      <c r="G14" s="424" t="s">
        <v>275</v>
      </c>
      <c r="I14" s="594">
        <v>20.3</v>
      </c>
    </row>
    <row r="15" spans="1:12" ht="15.75" thickBot="1" x14ac:dyDescent="0.25">
      <c r="A15" s="425" t="s">
        <v>276</v>
      </c>
      <c r="B15" s="752" t="s">
        <v>277</v>
      </c>
      <c r="C15" s="753"/>
      <c r="D15" s="753"/>
      <c r="E15" s="753"/>
      <c r="F15" s="753"/>
      <c r="G15" s="754"/>
      <c r="I15" s="594">
        <v>6.9</v>
      </c>
    </row>
    <row r="16" spans="1:12" ht="56.25" x14ac:dyDescent="0.2">
      <c r="A16" s="596">
        <v>1</v>
      </c>
      <c r="B16" s="597" t="s">
        <v>473</v>
      </c>
      <c r="C16" s="598" t="s">
        <v>385</v>
      </c>
      <c r="D16" s="599">
        <v>2.97</v>
      </c>
      <c r="E16" s="600" t="s">
        <v>474</v>
      </c>
      <c r="F16" s="601" t="str">
        <f>CONCATENATE(I7,"*1,1*",D16)</f>
        <v>23,3*1,1*2,97</v>
      </c>
      <c r="G16" s="602">
        <f>I7*1.1*D16</f>
        <v>76.121100000000013</v>
      </c>
      <c r="I16" s="594">
        <v>37.700000000000003</v>
      </c>
    </row>
    <row r="17" spans="1:9" ht="45" x14ac:dyDescent="0.2">
      <c r="A17" s="426">
        <v>2</v>
      </c>
      <c r="B17" s="603" t="s">
        <v>475</v>
      </c>
      <c r="C17" s="604" t="s">
        <v>388</v>
      </c>
      <c r="D17" s="605">
        <v>18</v>
      </c>
      <c r="E17" s="430" t="s">
        <v>476</v>
      </c>
      <c r="F17" s="606" t="str">
        <f>CONCATENATE(I8,"*",D17)</f>
        <v>42,6*18</v>
      </c>
      <c r="G17" s="607">
        <f>I8*D17</f>
        <v>766.80000000000007</v>
      </c>
      <c r="I17" s="595">
        <f>I16</f>
        <v>37.700000000000003</v>
      </c>
    </row>
    <row r="18" spans="1:9" ht="90" x14ac:dyDescent="0.2">
      <c r="A18" s="426">
        <v>3</v>
      </c>
      <c r="B18" s="603" t="s">
        <v>477</v>
      </c>
      <c r="C18" s="604" t="s">
        <v>434</v>
      </c>
      <c r="D18" s="605">
        <v>3</v>
      </c>
      <c r="E18" s="430" t="s">
        <v>478</v>
      </c>
      <c r="F18" s="606" t="str">
        <f>CONCATENATE(I9,"*0,9*",D18)</f>
        <v>7,6*0,9*3</v>
      </c>
      <c r="G18" s="607">
        <f>I9*0.9*D18</f>
        <v>20.52</v>
      </c>
      <c r="I18" s="594">
        <v>49.2</v>
      </c>
    </row>
    <row r="19" spans="1:9" ht="90" x14ac:dyDescent="0.2">
      <c r="A19" s="426">
        <v>4</v>
      </c>
      <c r="B19" s="603" t="s">
        <v>479</v>
      </c>
      <c r="C19" s="604" t="s">
        <v>434</v>
      </c>
      <c r="D19" s="605">
        <v>3</v>
      </c>
      <c r="E19" s="430" t="s">
        <v>480</v>
      </c>
      <c r="F19" s="606" t="str">
        <f>CONCATENATE(I10,"*1,2*",D19)</f>
        <v>7,6*1,2*3</v>
      </c>
      <c r="G19" s="607">
        <f>I10*1.2*D19</f>
        <v>27.36</v>
      </c>
    </row>
    <row r="20" spans="1:9" ht="45" x14ac:dyDescent="0.2">
      <c r="A20" s="426">
        <v>5</v>
      </c>
      <c r="B20" s="608" t="s">
        <v>481</v>
      </c>
      <c r="C20" s="609" t="s">
        <v>434</v>
      </c>
      <c r="D20" s="431">
        <v>3</v>
      </c>
      <c r="E20" s="443" t="s">
        <v>482</v>
      </c>
      <c r="F20" s="606" t="str">
        <f>CONCATENATE(I11,"*",D20)</f>
        <v>18,8*3</v>
      </c>
      <c r="G20" s="607">
        <f>I11*D20</f>
        <v>56.400000000000006</v>
      </c>
    </row>
    <row r="21" spans="1:9" ht="90" x14ac:dyDescent="0.2">
      <c r="A21" s="426">
        <v>6</v>
      </c>
      <c r="B21" s="608" t="s">
        <v>483</v>
      </c>
      <c r="C21" s="609" t="s">
        <v>434</v>
      </c>
      <c r="D21" s="431">
        <f>D20</f>
        <v>3</v>
      </c>
      <c r="E21" s="443" t="s">
        <v>484</v>
      </c>
      <c r="F21" s="606" t="str">
        <f>CONCATENATE(I13,"*0,9*",D21)</f>
        <v>6,1*0,9*3</v>
      </c>
      <c r="G21" s="607">
        <f>I13*0.9*D21</f>
        <v>16.47</v>
      </c>
      <c r="I21" s="594">
        <v>2</v>
      </c>
    </row>
    <row r="22" spans="1:9" ht="45" x14ac:dyDescent="0.2">
      <c r="A22" s="426">
        <v>7</v>
      </c>
      <c r="B22" s="608" t="s">
        <v>485</v>
      </c>
      <c r="C22" s="609" t="s">
        <v>434</v>
      </c>
      <c r="D22" s="431">
        <f>D21</f>
        <v>3</v>
      </c>
      <c r="E22" s="443" t="s">
        <v>486</v>
      </c>
      <c r="F22" s="606" t="str">
        <f>CONCATENATE(I14,"*",D22)</f>
        <v>20,3*3</v>
      </c>
      <c r="G22" s="607">
        <f>I14*D22</f>
        <v>60.900000000000006</v>
      </c>
      <c r="I22" s="594">
        <v>62.5</v>
      </c>
    </row>
    <row r="23" spans="1:9" ht="45" x14ac:dyDescent="0.2">
      <c r="A23" s="426">
        <v>8</v>
      </c>
      <c r="B23" s="608" t="s">
        <v>487</v>
      </c>
      <c r="C23" s="609" t="s">
        <v>434</v>
      </c>
      <c r="D23" s="431">
        <f>D22</f>
        <v>3</v>
      </c>
      <c r="E23" s="443" t="s">
        <v>488</v>
      </c>
      <c r="F23" s="606" t="str">
        <f>CONCATENATE(I15,"*",D23)</f>
        <v>6,9*3</v>
      </c>
      <c r="G23" s="607">
        <f>I15*D23</f>
        <v>20.700000000000003</v>
      </c>
      <c r="I23" s="594">
        <v>23</v>
      </c>
    </row>
    <row r="24" spans="1:9" ht="45" x14ac:dyDescent="0.2">
      <c r="A24" s="426">
        <v>9</v>
      </c>
      <c r="B24" s="610" t="s">
        <v>489</v>
      </c>
      <c r="C24" s="426" t="s">
        <v>434</v>
      </c>
      <c r="D24" s="431">
        <f>D23</f>
        <v>3</v>
      </c>
      <c r="E24" s="443" t="s">
        <v>490</v>
      </c>
      <c r="F24" s="606" t="str">
        <f>CONCATENATE(I16,"*",D24)</f>
        <v>37,7*3</v>
      </c>
      <c r="G24" s="607">
        <f>I16*D24</f>
        <v>113.10000000000001</v>
      </c>
      <c r="I24" s="594">
        <v>76.8</v>
      </c>
    </row>
    <row r="25" spans="1:9" ht="63" customHeight="1" x14ac:dyDescent="0.2">
      <c r="A25" s="426">
        <v>10</v>
      </c>
      <c r="B25" s="610" t="s">
        <v>491</v>
      </c>
      <c r="C25" s="426" t="s">
        <v>434</v>
      </c>
      <c r="D25" s="431">
        <f>D24</f>
        <v>3</v>
      </c>
      <c r="E25" s="443" t="s">
        <v>492</v>
      </c>
      <c r="F25" s="606" t="str">
        <f>CONCATENATE(I17,"*0,9*",D25)</f>
        <v>37,7*0,9*3</v>
      </c>
      <c r="G25" s="607">
        <f>I17*0.9*D25</f>
        <v>101.79000000000002</v>
      </c>
      <c r="I25" s="594">
        <v>19.7</v>
      </c>
    </row>
    <row r="26" spans="1:9" ht="45" hidden="1" x14ac:dyDescent="0.2">
      <c r="A26" s="426">
        <v>11</v>
      </c>
      <c r="B26" s="610" t="s">
        <v>493</v>
      </c>
      <c r="C26" s="426" t="s">
        <v>279</v>
      </c>
      <c r="D26" s="431"/>
      <c r="E26" s="443" t="s">
        <v>494</v>
      </c>
      <c r="F26" s="606" t="str">
        <f>CONCATENATE(I18,"*",D26)</f>
        <v>49,2*</v>
      </c>
      <c r="G26" s="607">
        <f>I18*D26</f>
        <v>0</v>
      </c>
      <c r="I26" s="594">
        <v>3.8</v>
      </c>
    </row>
    <row r="27" spans="1:9" ht="15.75" thickBot="1" x14ac:dyDescent="0.25">
      <c r="A27" s="433">
        <v>12</v>
      </c>
      <c r="B27" s="611" t="s">
        <v>280</v>
      </c>
      <c r="C27" s="433"/>
      <c r="D27" s="612"/>
      <c r="E27" s="437"/>
      <c r="F27" s="438"/>
      <c r="G27" s="446">
        <f>SUM(G16:G26)</f>
        <v>1260.1611</v>
      </c>
      <c r="I27" s="594">
        <v>96.2</v>
      </c>
    </row>
    <row r="28" spans="1:9" ht="15.75" thickBot="1" x14ac:dyDescent="0.25">
      <c r="A28" s="439" t="s">
        <v>281</v>
      </c>
      <c r="B28" s="745" t="s">
        <v>415</v>
      </c>
      <c r="C28" s="746"/>
      <c r="D28" s="746"/>
      <c r="E28" s="746"/>
      <c r="F28" s="746"/>
      <c r="G28" s="747"/>
    </row>
    <row r="29" spans="1:9" ht="56.25" x14ac:dyDescent="0.2">
      <c r="A29" s="596">
        <v>1</v>
      </c>
      <c r="B29" s="613" t="s">
        <v>495</v>
      </c>
      <c r="C29" s="614" t="s">
        <v>417</v>
      </c>
      <c r="D29" s="615">
        <f>D25</f>
        <v>3</v>
      </c>
      <c r="E29" s="616" t="s">
        <v>496</v>
      </c>
      <c r="F29" s="617" t="str">
        <f t="shared" ref="F29:F35" si="0">CONCATENATE(I21,"*",D29)</f>
        <v>2*3</v>
      </c>
      <c r="G29" s="602">
        <f t="shared" ref="G29:G35" si="1">I21*D29</f>
        <v>6</v>
      </c>
    </row>
    <row r="30" spans="1:9" ht="45" x14ac:dyDescent="0.2">
      <c r="A30" s="426">
        <v>2</v>
      </c>
      <c r="B30" s="610" t="s">
        <v>497</v>
      </c>
      <c r="C30" s="426" t="s">
        <v>417</v>
      </c>
      <c r="D30" s="431">
        <f>D29</f>
        <v>3</v>
      </c>
      <c r="E30" s="443" t="s">
        <v>498</v>
      </c>
      <c r="F30" s="606" t="str">
        <f t="shared" si="0"/>
        <v>62,5*3</v>
      </c>
      <c r="G30" s="607">
        <f t="shared" si="1"/>
        <v>187.5</v>
      </c>
      <c r="I30" s="594">
        <v>18.5</v>
      </c>
    </row>
    <row r="31" spans="1:9" ht="81" customHeight="1" x14ac:dyDescent="0.2">
      <c r="A31" s="426">
        <v>3</v>
      </c>
      <c r="B31" s="610" t="s">
        <v>499</v>
      </c>
      <c r="C31" s="426" t="s">
        <v>417</v>
      </c>
      <c r="D31" s="431">
        <f>D29</f>
        <v>3</v>
      </c>
      <c r="E31" s="443" t="s">
        <v>500</v>
      </c>
      <c r="F31" s="606" t="str">
        <f t="shared" si="0"/>
        <v>23*3</v>
      </c>
      <c r="G31" s="607">
        <f t="shared" si="1"/>
        <v>69</v>
      </c>
      <c r="I31" s="594">
        <v>0.2</v>
      </c>
    </row>
    <row r="32" spans="1:9" ht="56.25" x14ac:dyDescent="0.2">
      <c r="A32" s="426">
        <v>4</v>
      </c>
      <c r="B32" s="618" t="s">
        <v>501</v>
      </c>
      <c r="C32" s="426" t="s">
        <v>417</v>
      </c>
      <c r="D32" s="431">
        <f>D29</f>
        <v>3</v>
      </c>
      <c r="E32" s="443" t="s">
        <v>502</v>
      </c>
      <c r="F32" s="606" t="str">
        <f t="shared" si="0"/>
        <v>76,8*3</v>
      </c>
      <c r="G32" s="607">
        <f t="shared" si="1"/>
        <v>230.39999999999998</v>
      </c>
      <c r="I32" s="594">
        <v>14.8</v>
      </c>
    </row>
    <row r="33" spans="1:9" ht="56.25" x14ac:dyDescent="0.2">
      <c r="A33" s="426">
        <v>5</v>
      </c>
      <c r="B33" s="610" t="s">
        <v>503</v>
      </c>
      <c r="C33" s="426" t="s">
        <v>417</v>
      </c>
      <c r="D33" s="431">
        <f>D29</f>
        <v>3</v>
      </c>
      <c r="E33" s="443" t="s">
        <v>504</v>
      </c>
      <c r="F33" s="606" t="str">
        <f t="shared" si="0"/>
        <v>19,7*3</v>
      </c>
      <c r="G33" s="607">
        <f t="shared" si="1"/>
        <v>59.099999999999994</v>
      </c>
      <c r="H33" s="440">
        <f>SUM(G38:G40)</f>
        <v>230.83950000000002</v>
      </c>
      <c r="I33" s="594">
        <v>0.21</v>
      </c>
    </row>
    <row r="34" spans="1:9" ht="45" x14ac:dyDescent="0.2">
      <c r="A34" s="426">
        <v>6</v>
      </c>
      <c r="B34" s="610" t="s">
        <v>505</v>
      </c>
      <c r="C34" s="426" t="s">
        <v>417</v>
      </c>
      <c r="D34" s="431">
        <f>D29</f>
        <v>3</v>
      </c>
      <c r="E34" s="443" t="s">
        <v>506</v>
      </c>
      <c r="F34" s="606" t="str">
        <f t="shared" si="0"/>
        <v>3,8*3</v>
      </c>
      <c r="G34" s="607">
        <f t="shared" si="1"/>
        <v>11.399999999999999</v>
      </c>
    </row>
    <row r="35" spans="1:9" ht="45" x14ac:dyDescent="0.2">
      <c r="A35" s="426">
        <v>7</v>
      </c>
      <c r="B35" s="610" t="s">
        <v>507</v>
      </c>
      <c r="C35" s="426" t="s">
        <v>434</v>
      </c>
      <c r="D35" s="431">
        <f>D29</f>
        <v>3</v>
      </c>
      <c r="E35" s="443" t="s">
        <v>508</v>
      </c>
      <c r="F35" s="606" t="str">
        <f t="shared" si="0"/>
        <v>96,2*3</v>
      </c>
      <c r="G35" s="607">
        <f t="shared" si="1"/>
        <v>288.60000000000002</v>
      </c>
    </row>
    <row r="36" spans="1:9" ht="57" customHeight="1" thickBot="1" x14ac:dyDescent="0.25">
      <c r="A36" s="433">
        <v>8</v>
      </c>
      <c r="B36" s="619" t="s">
        <v>437</v>
      </c>
      <c r="C36" s="620"/>
      <c r="D36" s="612"/>
      <c r="E36" s="437"/>
      <c r="F36" s="438"/>
      <c r="G36" s="446">
        <f>SUM(G29:G35)</f>
        <v>852</v>
      </c>
    </row>
    <row r="37" spans="1:9" ht="15.75" thickBot="1" x14ac:dyDescent="0.25">
      <c r="A37" s="439" t="s">
        <v>289</v>
      </c>
      <c r="B37" s="745" t="s">
        <v>282</v>
      </c>
      <c r="C37" s="746"/>
      <c r="D37" s="746"/>
      <c r="E37" s="746"/>
      <c r="F37" s="746"/>
      <c r="G37" s="747"/>
    </row>
    <row r="38" spans="1:9" ht="56.25" x14ac:dyDescent="0.2">
      <c r="A38" s="596">
        <v>1</v>
      </c>
      <c r="B38" s="597" t="s">
        <v>473</v>
      </c>
      <c r="C38" s="598" t="s">
        <v>385</v>
      </c>
      <c r="D38" s="599">
        <f>D16</f>
        <v>2.97</v>
      </c>
      <c r="E38" s="600" t="s">
        <v>509</v>
      </c>
      <c r="F38" s="617" t="str">
        <f>CONCATENATE(I30,"*1,1*",D38)</f>
        <v>18,5*1,1*2,97</v>
      </c>
      <c r="G38" s="602">
        <f>I30*1.1*D38</f>
        <v>60.43950000000001</v>
      </c>
    </row>
    <row r="39" spans="1:9" ht="90" x14ac:dyDescent="0.2">
      <c r="A39" s="426">
        <v>2</v>
      </c>
      <c r="B39" s="610" t="s">
        <v>510</v>
      </c>
      <c r="C39" s="426" t="s">
        <v>511</v>
      </c>
      <c r="D39" s="431">
        <v>1</v>
      </c>
      <c r="E39" s="443" t="s">
        <v>512</v>
      </c>
      <c r="F39" s="442" t="str">
        <f>CONCATENATE(I31,"*",G36)</f>
        <v>0,2*852</v>
      </c>
      <c r="G39" s="607">
        <f>I31*G36</f>
        <v>170.4</v>
      </c>
    </row>
    <row r="40" spans="1:9" ht="45" hidden="1" x14ac:dyDescent="0.2">
      <c r="A40" s="426">
        <v>3</v>
      </c>
      <c r="B40" s="610" t="s">
        <v>493</v>
      </c>
      <c r="C40" s="426" t="s">
        <v>279</v>
      </c>
      <c r="D40" s="431"/>
      <c r="E40" s="443" t="s">
        <v>494</v>
      </c>
      <c r="F40" s="606" t="str">
        <f>CONCATENATE(I32,"*",D40)</f>
        <v>14,8*</v>
      </c>
      <c r="G40" s="607">
        <f>I32*D40</f>
        <v>0</v>
      </c>
    </row>
    <row r="41" spans="1:9" ht="56.25" x14ac:dyDescent="0.2">
      <c r="A41" s="426">
        <v>4</v>
      </c>
      <c r="B41" s="608" t="s">
        <v>513</v>
      </c>
      <c r="C41" s="609" t="s">
        <v>286</v>
      </c>
      <c r="D41" s="431">
        <v>1</v>
      </c>
      <c r="E41" s="443" t="s">
        <v>514</v>
      </c>
      <c r="F41" s="606" t="str">
        <f>CONCATENATE(I33,"*",ROUND(H33,2))</f>
        <v>0,21*230,84</v>
      </c>
      <c r="G41" s="607">
        <f>I33*H33</f>
        <v>48.476295</v>
      </c>
    </row>
    <row r="42" spans="1:9" ht="15.75" thickBot="1" x14ac:dyDescent="0.25">
      <c r="A42" s="433">
        <v>5</v>
      </c>
      <c r="B42" s="611" t="s">
        <v>288</v>
      </c>
      <c r="C42" s="433"/>
      <c r="D42" s="621"/>
      <c r="E42" s="437"/>
      <c r="F42" s="438"/>
      <c r="G42" s="446">
        <f>SUM(G38:G41)</f>
        <v>279.31579500000004</v>
      </c>
    </row>
    <row r="43" spans="1:9" ht="23.25" thickBot="1" x14ac:dyDescent="0.25">
      <c r="A43" s="439" t="s">
        <v>291</v>
      </c>
      <c r="B43" s="447" t="s">
        <v>515</v>
      </c>
      <c r="C43" s="424"/>
      <c r="D43" s="423"/>
      <c r="E43" s="448"/>
      <c r="F43" s="449"/>
      <c r="G43" s="450">
        <f>SUM(G42:G42)+G36+G27</f>
        <v>2391.4768949999998</v>
      </c>
    </row>
    <row r="44" spans="1:9" ht="45.75" thickBot="1" x14ac:dyDescent="0.25">
      <c r="A44" s="439" t="s">
        <v>516</v>
      </c>
      <c r="B44" s="447" t="s">
        <v>292</v>
      </c>
      <c r="C44" s="424"/>
      <c r="D44" s="423"/>
      <c r="E44" s="448" t="s">
        <v>559</v>
      </c>
      <c r="F44" s="449" t="s">
        <v>520</v>
      </c>
      <c r="G44" s="450">
        <f>G43*44.21</f>
        <v>105727.19352794999</v>
      </c>
    </row>
    <row r="45" spans="1:9" x14ac:dyDescent="0.2">
      <c r="A45" s="622"/>
      <c r="B45" s="623"/>
      <c r="C45" s="623"/>
      <c r="D45" s="624"/>
      <c r="E45" s="625"/>
      <c r="F45" s="408"/>
      <c r="G45" s="408"/>
    </row>
    <row r="46" spans="1:9" x14ac:dyDescent="0.2">
      <c r="A46" s="748"/>
      <c r="B46" s="748"/>
      <c r="C46" s="748"/>
      <c r="D46" s="748"/>
      <c r="E46" s="625"/>
      <c r="F46" s="408"/>
      <c r="G46" s="408"/>
    </row>
    <row r="47" spans="1:9" x14ac:dyDescent="0.2">
      <c r="A47" s="622"/>
      <c r="B47" s="626"/>
      <c r="C47" s="627"/>
      <c r="D47" s="628"/>
      <c r="E47" s="629"/>
      <c r="F47" s="408"/>
      <c r="G47" s="408"/>
    </row>
    <row r="48" spans="1:9" x14ac:dyDescent="0.2">
      <c r="A48" s="622"/>
      <c r="B48" s="456" t="s">
        <v>517</v>
      </c>
      <c r="C48" s="453"/>
      <c r="D48" s="629"/>
      <c r="E48" s="629"/>
      <c r="F48" s="408"/>
      <c r="G48" s="408"/>
    </row>
    <row r="49" spans="1:7" x14ac:dyDescent="0.2">
      <c r="A49" s="622"/>
      <c r="B49" s="456"/>
      <c r="C49" s="629"/>
      <c r="D49" s="629"/>
      <c r="E49" s="629"/>
      <c r="F49" s="408"/>
      <c r="G49" s="408"/>
    </row>
    <row r="50" spans="1:7" x14ac:dyDescent="0.2">
      <c r="B50" s="456"/>
    </row>
    <row r="51" spans="1:7" x14ac:dyDescent="0.2">
      <c r="B51" s="456"/>
    </row>
  </sheetData>
  <mergeCells count="21">
    <mergeCell ref="A7:G7"/>
    <mergeCell ref="B1:C1"/>
    <mergeCell ref="D1:E1"/>
    <mergeCell ref="B2:C2"/>
    <mergeCell ref="D2:E2"/>
    <mergeCell ref="B3:C3"/>
    <mergeCell ref="D3:E3"/>
    <mergeCell ref="B4:C4"/>
    <mergeCell ref="D4:E4"/>
    <mergeCell ref="B5:C5"/>
    <mergeCell ref="D5:E5"/>
    <mergeCell ref="E6:G6"/>
    <mergeCell ref="B28:G28"/>
    <mergeCell ref="B37:G37"/>
    <mergeCell ref="A46:D46"/>
    <mergeCell ref="A8:G8"/>
    <mergeCell ref="A9:G9"/>
    <mergeCell ref="A10:G10"/>
    <mergeCell ref="A11:G11"/>
    <mergeCell ref="A12:G12"/>
    <mergeCell ref="B15:G15"/>
  </mergeCells>
  <pageMargins left="0.7" right="0.7" top="0.75" bottom="0.75" header="0.3" footer="0.3"/>
  <pageSetup paperSize="9" scale="90" fitToHeight="0" orientation="portrait" horizontalDpi="4294967294" r:id="rId1"/>
  <rowBreaks count="2" manualBreakCount="2">
    <brk id="24" max="6" man="1"/>
    <brk id="36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E8A"/>
    <pageSetUpPr fitToPage="1"/>
  </sheetPr>
  <dimension ref="A1:L56"/>
  <sheetViews>
    <sheetView view="pageBreakPreview" topLeftCell="A21" zoomScale="115" zoomScaleNormal="115" zoomScaleSheetLayoutView="115" workbookViewId="0">
      <selection activeCell="B20" sqref="B20"/>
    </sheetView>
  </sheetViews>
  <sheetFormatPr defaultRowHeight="15" x14ac:dyDescent="0.2"/>
  <cols>
    <col min="1" max="1" width="3.28515625" style="410" customWidth="1"/>
    <col min="2" max="2" width="27.85546875" style="458" customWidth="1"/>
    <col min="3" max="3" width="8.7109375" style="457" customWidth="1"/>
    <col min="4" max="4" width="5.85546875" style="410" customWidth="1"/>
    <col min="5" max="5" width="26.28515625" style="452" customWidth="1"/>
    <col min="6" max="6" width="14" style="410" customWidth="1"/>
    <col min="7" max="7" width="12.42578125" style="410" customWidth="1"/>
    <col min="8" max="8" width="13.28515625" style="410" customWidth="1"/>
    <col min="9" max="9" width="9.7109375" style="410" customWidth="1"/>
    <col min="10" max="10" width="9.140625" style="410"/>
    <col min="11" max="11" width="9.42578125" style="410" bestFit="1" customWidth="1"/>
    <col min="12" max="12" width="9.140625" style="410"/>
    <col min="13" max="13" width="8" style="410" customWidth="1"/>
    <col min="14" max="256" width="9.140625" style="410"/>
    <col min="257" max="257" width="3.28515625" style="410" customWidth="1"/>
    <col min="258" max="258" width="25.5703125" style="410" customWidth="1"/>
    <col min="259" max="259" width="8.7109375" style="410" customWidth="1"/>
    <col min="260" max="260" width="5.85546875" style="410" customWidth="1"/>
    <col min="261" max="261" width="29.85546875" style="410" customWidth="1"/>
    <col min="262" max="262" width="14" style="410" customWidth="1"/>
    <col min="263" max="263" width="12.42578125" style="410" customWidth="1"/>
    <col min="264" max="264" width="13.28515625" style="410" customWidth="1"/>
    <col min="265" max="265" width="12.85546875" style="410" customWidth="1"/>
    <col min="266" max="512" width="9.140625" style="410"/>
    <col min="513" max="513" width="3.28515625" style="410" customWidth="1"/>
    <col min="514" max="514" width="25.5703125" style="410" customWidth="1"/>
    <col min="515" max="515" width="8.7109375" style="410" customWidth="1"/>
    <col min="516" max="516" width="5.85546875" style="410" customWidth="1"/>
    <col min="517" max="517" width="29.85546875" style="410" customWidth="1"/>
    <col min="518" max="518" width="14" style="410" customWidth="1"/>
    <col min="519" max="519" width="12.42578125" style="410" customWidth="1"/>
    <col min="520" max="520" width="13.28515625" style="410" customWidth="1"/>
    <col min="521" max="521" width="12.85546875" style="410" customWidth="1"/>
    <col min="522" max="768" width="9.140625" style="410"/>
    <col min="769" max="769" width="3.28515625" style="410" customWidth="1"/>
    <col min="770" max="770" width="25.5703125" style="410" customWidth="1"/>
    <col min="771" max="771" width="8.7109375" style="410" customWidth="1"/>
    <col min="772" max="772" width="5.85546875" style="410" customWidth="1"/>
    <col min="773" max="773" width="29.85546875" style="410" customWidth="1"/>
    <col min="774" max="774" width="14" style="410" customWidth="1"/>
    <col min="775" max="775" width="12.42578125" style="410" customWidth="1"/>
    <col min="776" max="776" width="13.28515625" style="410" customWidth="1"/>
    <col min="777" max="777" width="12.85546875" style="410" customWidth="1"/>
    <col min="778" max="1024" width="9.140625" style="410"/>
    <col min="1025" max="1025" width="3.28515625" style="410" customWidth="1"/>
    <col min="1026" max="1026" width="25.5703125" style="410" customWidth="1"/>
    <col min="1027" max="1027" width="8.7109375" style="410" customWidth="1"/>
    <col min="1028" max="1028" width="5.85546875" style="410" customWidth="1"/>
    <col min="1029" max="1029" width="29.85546875" style="410" customWidth="1"/>
    <col min="1030" max="1030" width="14" style="410" customWidth="1"/>
    <col min="1031" max="1031" width="12.42578125" style="410" customWidth="1"/>
    <col min="1032" max="1032" width="13.28515625" style="410" customWidth="1"/>
    <col min="1033" max="1033" width="12.85546875" style="410" customWidth="1"/>
    <col min="1034" max="1280" width="9.140625" style="410"/>
    <col min="1281" max="1281" width="3.28515625" style="410" customWidth="1"/>
    <col min="1282" max="1282" width="25.5703125" style="410" customWidth="1"/>
    <col min="1283" max="1283" width="8.7109375" style="410" customWidth="1"/>
    <col min="1284" max="1284" width="5.85546875" style="410" customWidth="1"/>
    <col min="1285" max="1285" width="29.85546875" style="410" customWidth="1"/>
    <col min="1286" max="1286" width="14" style="410" customWidth="1"/>
    <col min="1287" max="1287" width="12.42578125" style="410" customWidth="1"/>
    <col min="1288" max="1288" width="13.28515625" style="410" customWidth="1"/>
    <col min="1289" max="1289" width="12.85546875" style="410" customWidth="1"/>
    <col min="1290" max="1536" width="9.140625" style="410"/>
    <col min="1537" max="1537" width="3.28515625" style="410" customWidth="1"/>
    <col min="1538" max="1538" width="25.5703125" style="410" customWidth="1"/>
    <col min="1539" max="1539" width="8.7109375" style="410" customWidth="1"/>
    <col min="1540" max="1540" width="5.85546875" style="410" customWidth="1"/>
    <col min="1541" max="1541" width="29.85546875" style="410" customWidth="1"/>
    <col min="1542" max="1542" width="14" style="410" customWidth="1"/>
    <col min="1543" max="1543" width="12.42578125" style="410" customWidth="1"/>
    <col min="1544" max="1544" width="13.28515625" style="410" customWidth="1"/>
    <col min="1545" max="1545" width="12.85546875" style="410" customWidth="1"/>
    <col min="1546" max="1792" width="9.140625" style="410"/>
    <col min="1793" max="1793" width="3.28515625" style="410" customWidth="1"/>
    <col min="1794" max="1794" width="25.5703125" style="410" customWidth="1"/>
    <col min="1795" max="1795" width="8.7109375" style="410" customWidth="1"/>
    <col min="1796" max="1796" width="5.85546875" style="410" customWidth="1"/>
    <col min="1797" max="1797" width="29.85546875" style="410" customWidth="1"/>
    <col min="1798" max="1798" width="14" style="410" customWidth="1"/>
    <col min="1799" max="1799" width="12.42578125" style="410" customWidth="1"/>
    <col min="1800" max="1800" width="13.28515625" style="410" customWidth="1"/>
    <col min="1801" max="1801" width="12.85546875" style="410" customWidth="1"/>
    <col min="1802" max="2048" width="9.140625" style="410"/>
    <col min="2049" max="2049" width="3.28515625" style="410" customWidth="1"/>
    <col min="2050" max="2050" width="25.5703125" style="410" customWidth="1"/>
    <col min="2051" max="2051" width="8.7109375" style="410" customWidth="1"/>
    <col min="2052" max="2052" width="5.85546875" style="410" customWidth="1"/>
    <col min="2053" max="2053" width="29.85546875" style="410" customWidth="1"/>
    <col min="2054" max="2054" width="14" style="410" customWidth="1"/>
    <col min="2055" max="2055" width="12.42578125" style="410" customWidth="1"/>
    <col min="2056" max="2056" width="13.28515625" style="410" customWidth="1"/>
    <col min="2057" max="2057" width="12.85546875" style="410" customWidth="1"/>
    <col min="2058" max="2304" width="9.140625" style="410"/>
    <col min="2305" max="2305" width="3.28515625" style="410" customWidth="1"/>
    <col min="2306" max="2306" width="25.5703125" style="410" customWidth="1"/>
    <col min="2307" max="2307" width="8.7109375" style="410" customWidth="1"/>
    <col min="2308" max="2308" width="5.85546875" style="410" customWidth="1"/>
    <col min="2309" max="2309" width="29.85546875" style="410" customWidth="1"/>
    <col min="2310" max="2310" width="14" style="410" customWidth="1"/>
    <col min="2311" max="2311" width="12.42578125" style="410" customWidth="1"/>
    <col min="2312" max="2312" width="13.28515625" style="410" customWidth="1"/>
    <col min="2313" max="2313" width="12.85546875" style="410" customWidth="1"/>
    <col min="2314" max="2560" width="9.140625" style="410"/>
    <col min="2561" max="2561" width="3.28515625" style="410" customWidth="1"/>
    <col min="2562" max="2562" width="25.5703125" style="410" customWidth="1"/>
    <col min="2563" max="2563" width="8.7109375" style="410" customWidth="1"/>
    <col min="2564" max="2564" width="5.85546875" style="410" customWidth="1"/>
    <col min="2565" max="2565" width="29.85546875" style="410" customWidth="1"/>
    <col min="2566" max="2566" width="14" style="410" customWidth="1"/>
    <col min="2567" max="2567" width="12.42578125" style="410" customWidth="1"/>
    <col min="2568" max="2568" width="13.28515625" style="410" customWidth="1"/>
    <col min="2569" max="2569" width="12.85546875" style="410" customWidth="1"/>
    <col min="2570" max="2816" width="9.140625" style="410"/>
    <col min="2817" max="2817" width="3.28515625" style="410" customWidth="1"/>
    <col min="2818" max="2818" width="25.5703125" style="410" customWidth="1"/>
    <col min="2819" max="2819" width="8.7109375" style="410" customWidth="1"/>
    <col min="2820" max="2820" width="5.85546875" style="410" customWidth="1"/>
    <col min="2821" max="2821" width="29.85546875" style="410" customWidth="1"/>
    <col min="2822" max="2822" width="14" style="410" customWidth="1"/>
    <col min="2823" max="2823" width="12.42578125" style="410" customWidth="1"/>
    <col min="2824" max="2824" width="13.28515625" style="410" customWidth="1"/>
    <col min="2825" max="2825" width="12.85546875" style="410" customWidth="1"/>
    <col min="2826" max="3072" width="9.140625" style="410"/>
    <col min="3073" max="3073" width="3.28515625" style="410" customWidth="1"/>
    <col min="3074" max="3074" width="25.5703125" style="410" customWidth="1"/>
    <col min="3075" max="3075" width="8.7109375" style="410" customWidth="1"/>
    <col min="3076" max="3076" width="5.85546875" style="410" customWidth="1"/>
    <col min="3077" max="3077" width="29.85546875" style="410" customWidth="1"/>
    <col min="3078" max="3078" width="14" style="410" customWidth="1"/>
    <col min="3079" max="3079" width="12.42578125" style="410" customWidth="1"/>
    <col min="3080" max="3080" width="13.28515625" style="410" customWidth="1"/>
    <col min="3081" max="3081" width="12.85546875" style="410" customWidth="1"/>
    <col min="3082" max="3328" width="9.140625" style="410"/>
    <col min="3329" max="3329" width="3.28515625" style="410" customWidth="1"/>
    <col min="3330" max="3330" width="25.5703125" style="410" customWidth="1"/>
    <col min="3331" max="3331" width="8.7109375" style="410" customWidth="1"/>
    <col min="3332" max="3332" width="5.85546875" style="410" customWidth="1"/>
    <col min="3333" max="3333" width="29.85546875" style="410" customWidth="1"/>
    <col min="3334" max="3334" width="14" style="410" customWidth="1"/>
    <col min="3335" max="3335" width="12.42578125" style="410" customWidth="1"/>
    <col min="3336" max="3336" width="13.28515625" style="410" customWidth="1"/>
    <col min="3337" max="3337" width="12.85546875" style="410" customWidth="1"/>
    <col min="3338" max="3584" width="9.140625" style="410"/>
    <col min="3585" max="3585" width="3.28515625" style="410" customWidth="1"/>
    <col min="3586" max="3586" width="25.5703125" style="410" customWidth="1"/>
    <col min="3587" max="3587" width="8.7109375" style="410" customWidth="1"/>
    <col min="3588" max="3588" width="5.85546875" style="410" customWidth="1"/>
    <col min="3589" max="3589" width="29.85546875" style="410" customWidth="1"/>
    <col min="3590" max="3590" width="14" style="410" customWidth="1"/>
    <col min="3591" max="3591" width="12.42578125" style="410" customWidth="1"/>
    <col min="3592" max="3592" width="13.28515625" style="410" customWidth="1"/>
    <col min="3593" max="3593" width="12.85546875" style="410" customWidth="1"/>
    <col min="3594" max="3840" width="9.140625" style="410"/>
    <col min="3841" max="3841" width="3.28515625" style="410" customWidth="1"/>
    <col min="3842" max="3842" width="25.5703125" style="410" customWidth="1"/>
    <col min="3843" max="3843" width="8.7109375" style="410" customWidth="1"/>
    <col min="3844" max="3844" width="5.85546875" style="410" customWidth="1"/>
    <col min="3845" max="3845" width="29.85546875" style="410" customWidth="1"/>
    <col min="3846" max="3846" width="14" style="410" customWidth="1"/>
    <col min="3847" max="3847" width="12.42578125" style="410" customWidth="1"/>
    <col min="3848" max="3848" width="13.28515625" style="410" customWidth="1"/>
    <col min="3849" max="3849" width="12.85546875" style="410" customWidth="1"/>
    <col min="3850" max="4096" width="9.140625" style="410"/>
    <col min="4097" max="4097" width="3.28515625" style="410" customWidth="1"/>
    <col min="4098" max="4098" width="25.5703125" style="410" customWidth="1"/>
    <col min="4099" max="4099" width="8.7109375" style="410" customWidth="1"/>
    <col min="4100" max="4100" width="5.85546875" style="410" customWidth="1"/>
    <col min="4101" max="4101" width="29.85546875" style="410" customWidth="1"/>
    <col min="4102" max="4102" width="14" style="410" customWidth="1"/>
    <col min="4103" max="4103" width="12.42578125" style="410" customWidth="1"/>
    <col min="4104" max="4104" width="13.28515625" style="410" customWidth="1"/>
    <col min="4105" max="4105" width="12.85546875" style="410" customWidth="1"/>
    <col min="4106" max="4352" width="9.140625" style="410"/>
    <col min="4353" max="4353" width="3.28515625" style="410" customWidth="1"/>
    <col min="4354" max="4354" width="25.5703125" style="410" customWidth="1"/>
    <col min="4355" max="4355" width="8.7109375" style="410" customWidth="1"/>
    <col min="4356" max="4356" width="5.85546875" style="410" customWidth="1"/>
    <col min="4357" max="4357" width="29.85546875" style="410" customWidth="1"/>
    <col min="4358" max="4358" width="14" style="410" customWidth="1"/>
    <col min="4359" max="4359" width="12.42578125" style="410" customWidth="1"/>
    <col min="4360" max="4360" width="13.28515625" style="410" customWidth="1"/>
    <col min="4361" max="4361" width="12.85546875" style="410" customWidth="1"/>
    <col min="4362" max="4608" width="9.140625" style="410"/>
    <col min="4609" max="4609" width="3.28515625" style="410" customWidth="1"/>
    <col min="4610" max="4610" width="25.5703125" style="410" customWidth="1"/>
    <col min="4611" max="4611" width="8.7109375" style="410" customWidth="1"/>
    <col min="4612" max="4612" width="5.85546875" style="410" customWidth="1"/>
    <col min="4613" max="4613" width="29.85546875" style="410" customWidth="1"/>
    <col min="4614" max="4614" width="14" style="410" customWidth="1"/>
    <col min="4615" max="4615" width="12.42578125" style="410" customWidth="1"/>
    <col min="4616" max="4616" width="13.28515625" style="410" customWidth="1"/>
    <col min="4617" max="4617" width="12.85546875" style="410" customWidth="1"/>
    <col min="4618" max="4864" width="9.140625" style="410"/>
    <col min="4865" max="4865" width="3.28515625" style="410" customWidth="1"/>
    <col min="4866" max="4866" width="25.5703125" style="410" customWidth="1"/>
    <col min="4867" max="4867" width="8.7109375" style="410" customWidth="1"/>
    <col min="4868" max="4868" width="5.85546875" style="410" customWidth="1"/>
    <col min="4869" max="4869" width="29.85546875" style="410" customWidth="1"/>
    <col min="4870" max="4870" width="14" style="410" customWidth="1"/>
    <col min="4871" max="4871" width="12.42578125" style="410" customWidth="1"/>
    <col min="4872" max="4872" width="13.28515625" style="410" customWidth="1"/>
    <col min="4873" max="4873" width="12.85546875" style="410" customWidth="1"/>
    <col min="4874" max="5120" width="9.140625" style="410"/>
    <col min="5121" max="5121" width="3.28515625" style="410" customWidth="1"/>
    <col min="5122" max="5122" width="25.5703125" style="410" customWidth="1"/>
    <col min="5123" max="5123" width="8.7109375" style="410" customWidth="1"/>
    <col min="5124" max="5124" width="5.85546875" style="410" customWidth="1"/>
    <col min="5125" max="5125" width="29.85546875" style="410" customWidth="1"/>
    <col min="5126" max="5126" width="14" style="410" customWidth="1"/>
    <col min="5127" max="5127" width="12.42578125" style="410" customWidth="1"/>
    <col min="5128" max="5128" width="13.28515625" style="410" customWidth="1"/>
    <col min="5129" max="5129" width="12.85546875" style="410" customWidth="1"/>
    <col min="5130" max="5376" width="9.140625" style="410"/>
    <col min="5377" max="5377" width="3.28515625" style="410" customWidth="1"/>
    <col min="5378" max="5378" width="25.5703125" style="410" customWidth="1"/>
    <col min="5379" max="5379" width="8.7109375" style="410" customWidth="1"/>
    <col min="5380" max="5380" width="5.85546875" style="410" customWidth="1"/>
    <col min="5381" max="5381" width="29.85546875" style="410" customWidth="1"/>
    <col min="5382" max="5382" width="14" style="410" customWidth="1"/>
    <col min="5383" max="5383" width="12.42578125" style="410" customWidth="1"/>
    <col min="5384" max="5384" width="13.28515625" style="410" customWidth="1"/>
    <col min="5385" max="5385" width="12.85546875" style="410" customWidth="1"/>
    <col min="5386" max="5632" width="9.140625" style="410"/>
    <col min="5633" max="5633" width="3.28515625" style="410" customWidth="1"/>
    <col min="5634" max="5634" width="25.5703125" style="410" customWidth="1"/>
    <col min="5635" max="5635" width="8.7109375" style="410" customWidth="1"/>
    <col min="5636" max="5636" width="5.85546875" style="410" customWidth="1"/>
    <col min="5637" max="5637" width="29.85546875" style="410" customWidth="1"/>
    <col min="5638" max="5638" width="14" style="410" customWidth="1"/>
    <col min="5639" max="5639" width="12.42578125" style="410" customWidth="1"/>
    <col min="5640" max="5640" width="13.28515625" style="410" customWidth="1"/>
    <col min="5641" max="5641" width="12.85546875" style="410" customWidth="1"/>
    <col min="5642" max="5888" width="9.140625" style="410"/>
    <col min="5889" max="5889" width="3.28515625" style="410" customWidth="1"/>
    <col min="5890" max="5890" width="25.5703125" style="410" customWidth="1"/>
    <col min="5891" max="5891" width="8.7109375" style="410" customWidth="1"/>
    <col min="5892" max="5892" width="5.85546875" style="410" customWidth="1"/>
    <col min="5893" max="5893" width="29.85546875" style="410" customWidth="1"/>
    <col min="5894" max="5894" width="14" style="410" customWidth="1"/>
    <col min="5895" max="5895" width="12.42578125" style="410" customWidth="1"/>
    <col min="5896" max="5896" width="13.28515625" style="410" customWidth="1"/>
    <col min="5897" max="5897" width="12.85546875" style="410" customWidth="1"/>
    <col min="5898" max="6144" width="9.140625" style="410"/>
    <col min="6145" max="6145" width="3.28515625" style="410" customWidth="1"/>
    <col min="6146" max="6146" width="25.5703125" style="410" customWidth="1"/>
    <col min="6147" max="6147" width="8.7109375" style="410" customWidth="1"/>
    <col min="6148" max="6148" width="5.85546875" style="410" customWidth="1"/>
    <col min="6149" max="6149" width="29.85546875" style="410" customWidth="1"/>
    <col min="6150" max="6150" width="14" style="410" customWidth="1"/>
    <col min="6151" max="6151" width="12.42578125" style="410" customWidth="1"/>
    <col min="6152" max="6152" width="13.28515625" style="410" customWidth="1"/>
    <col min="6153" max="6153" width="12.85546875" style="410" customWidth="1"/>
    <col min="6154" max="6400" width="9.140625" style="410"/>
    <col min="6401" max="6401" width="3.28515625" style="410" customWidth="1"/>
    <col min="6402" max="6402" width="25.5703125" style="410" customWidth="1"/>
    <col min="6403" max="6403" width="8.7109375" style="410" customWidth="1"/>
    <col min="6404" max="6404" width="5.85546875" style="410" customWidth="1"/>
    <col min="6405" max="6405" width="29.85546875" style="410" customWidth="1"/>
    <col min="6406" max="6406" width="14" style="410" customWidth="1"/>
    <col min="6407" max="6407" width="12.42578125" style="410" customWidth="1"/>
    <col min="6408" max="6408" width="13.28515625" style="410" customWidth="1"/>
    <col min="6409" max="6409" width="12.85546875" style="410" customWidth="1"/>
    <col min="6410" max="6656" width="9.140625" style="410"/>
    <col min="6657" max="6657" width="3.28515625" style="410" customWidth="1"/>
    <col min="6658" max="6658" width="25.5703125" style="410" customWidth="1"/>
    <col min="6659" max="6659" width="8.7109375" style="410" customWidth="1"/>
    <col min="6660" max="6660" width="5.85546875" style="410" customWidth="1"/>
    <col min="6661" max="6661" width="29.85546875" style="410" customWidth="1"/>
    <col min="6662" max="6662" width="14" style="410" customWidth="1"/>
    <col min="6663" max="6663" width="12.42578125" style="410" customWidth="1"/>
    <col min="6664" max="6664" width="13.28515625" style="410" customWidth="1"/>
    <col min="6665" max="6665" width="12.85546875" style="410" customWidth="1"/>
    <col min="6666" max="6912" width="9.140625" style="410"/>
    <col min="6913" max="6913" width="3.28515625" style="410" customWidth="1"/>
    <col min="6914" max="6914" width="25.5703125" style="410" customWidth="1"/>
    <col min="6915" max="6915" width="8.7109375" style="410" customWidth="1"/>
    <col min="6916" max="6916" width="5.85546875" style="410" customWidth="1"/>
    <col min="6917" max="6917" width="29.85546875" style="410" customWidth="1"/>
    <col min="6918" max="6918" width="14" style="410" customWidth="1"/>
    <col min="6919" max="6919" width="12.42578125" style="410" customWidth="1"/>
    <col min="6920" max="6920" width="13.28515625" style="410" customWidth="1"/>
    <col min="6921" max="6921" width="12.85546875" style="410" customWidth="1"/>
    <col min="6922" max="7168" width="9.140625" style="410"/>
    <col min="7169" max="7169" width="3.28515625" style="410" customWidth="1"/>
    <col min="7170" max="7170" width="25.5703125" style="410" customWidth="1"/>
    <col min="7171" max="7171" width="8.7109375" style="410" customWidth="1"/>
    <col min="7172" max="7172" width="5.85546875" style="410" customWidth="1"/>
    <col min="7173" max="7173" width="29.85546875" style="410" customWidth="1"/>
    <col min="7174" max="7174" width="14" style="410" customWidth="1"/>
    <col min="7175" max="7175" width="12.42578125" style="410" customWidth="1"/>
    <col min="7176" max="7176" width="13.28515625" style="410" customWidth="1"/>
    <col min="7177" max="7177" width="12.85546875" style="410" customWidth="1"/>
    <col min="7178" max="7424" width="9.140625" style="410"/>
    <col min="7425" max="7425" width="3.28515625" style="410" customWidth="1"/>
    <col min="7426" max="7426" width="25.5703125" style="410" customWidth="1"/>
    <col min="7427" max="7427" width="8.7109375" style="410" customWidth="1"/>
    <col min="7428" max="7428" width="5.85546875" style="410" customWidth="1"/>
    <col min="7429" max="7429" width="29.85546875" style="410" customWidth="1"/>
    <col min="7430" max="7430" width="14" style="410" customWidth="1"/>
    <col min="7431" max="7431" width="12.42578125" style="410" customWidth="1"/>
    <col min="7432" max="7432" width="13.28515625" style="410" customWidth="1"/>
    <col min="7433" max="7433" width="12.85546875" style="410" customWidth="1"/>
    <col min="7434" max="7680" width="9.140625" style="410"/>
    <col min="7681" max="7681" width="3.28515625" style="410" customWidth="1"/>
    <col min="7682" max="7682" width="25.5703125" style="410" customWidth="1"/>
    <col min="7683" max="7683" width="8.7109375" style="410" customWidth="1"/>
    <col min="7684" max="7684" width="5.85546875" style="410" customWidth="1"/>
    <col min="7685" max="7685" width="29.85546875" style="410" customWidth="1"/>
    <col min="7686" max="7686" width="14" style="410" customWidth="1"/>
    <col min="7687" max="7687" width="12.42578125" style="410" customWidth="1"/>
    <col min="7688" max="7688" width="13.28515625" style="410" customWidth="1"/>
    <col min="7689" max="7689" width="12.85546875" style="410" customWidth="1"/>
    <col min="7690" max="7936" width="9.140625" style="410"/>
    <col min="7937" max="7937" width="3.28515625" style="410" customWidth="1"/>
    <col min="7938" max="7938" width="25.5703125" style="410" customWidth="1"/>
    <col min="7939" max="7939" width="8.7109375" style="410" customWidth="1"/>
    <col min="7940" max="7940" width="5.85546875" style="410" customWidth="1"/>
    <col min="7941" max="7941" width="29.85546875" style="410" customWidth="1"/>
    <col min="7942" max="7942" width="14" style="410" customWidth="1"/>
    <col min="7943" max="7943" width="12.42578125" style="410" customWidth="1"/>
    <col min="7944" max="7944" width="13.28515625" style="410" customWidth="1"/>
    <col min="7945" max="7945" width="12.85546875" style="410" customWidth="1"/>
    <col min="7946" max="8192" width="9.140625" style="410"/>
    <col min="8193" max="8193" width="3.28515625" style="410" customWidth="1"/>
    <col min="8194" max="8194" width="25.5703125" style="410" customWidth="1"/>
    <col min="8195" max="8195" width="8.7109375" style="410" customWidth="1"/>
    <col min="8196" max="8196" width="5.85546875" style="410" customWidth="1"/>
    <col min="8197" max="8197" width="29.85546875" style="410" customWidth="1"/>
    <col min="8198" max="8198" width="14" style="410" customWidth="1"/>
    <col min="8199" max="8199" width="12.42578125" style="410" customWidth="1"/>
    <col min="8200" max="8200" width="13.28515625" style="410" customWidth="1"/>
    <col min="8201" max="8201" width="12.85546875" style="410" customWidth="1"/>
    <col min="8202" max="8448" width="9.140625" style="410"/>
    <col min="8449" max="8449" width="3.28515625" style="410" customWidth="1"/>
    <col min="8450" max="8450" width="25.5703125" style="410" customWidth="1"/>
    <col min="8451" max="8451" width="8.7109375" style="410" customWidth="1"/>
    <col min="8452" max="8452" width="5.85546875" style="410" customWidth="1"/>
    <col min="8453" max="8453" width="29.85546875" style="410" customWidth="1"/>
    <col min="8454" max="8454" width="14" style="410" customWidth="1"/>
    <col min="8455" max="8455" width="12.42578125" style="410" customWidth="1"/>
    <col min="8456" max="8456" width="13.28515625" style="410" customWidth="1"/>
    <col min="8457" max="8457" width="12.85546875" style="410" customWidth="1"/>
    <col min="8458" max="8704" width="9.140625" style="410"/>
    <col min="8705" max="8705" width="3.28515625" style="410" customWidth="1"/>
    <col min="8706" max="8706" width="25.5703125" style="410" customWidth="1"/>
    <col min="8707" max="8707" width="8.7109375" style="410" customWidth="1"/>
    <col min="8708" max="8708" width="5.85546875" style="410" customWidth="1"/>
    <col min="8709" max="8709" width="29.85546875" style="410" customWidth="1"/>
    <col min="8710" max="8710" width="14" style="410" customWidth="1"/>
    <col min="8711" max="8711" width="12.42578125" style="410" customWidth="1"/>
    <col min="8712" max="8712" width="13.28515625" style="410" customWidth="1"/>
    <col min="8713" max="8713" width="12.85546875" style="410" customWidth="1"/>
    <col min="8714" max="8960" width="9.140625" style="410"/>
    <col min="8961" max="8961" width="3.28515625" style="410" customWidth="1"/>
    <col min="8962" max="8962" width="25.5703125" style="410" customWidth="1"/>
    <col min="8963" max="8963" width="8.7109375" style="410" customWidth="1"/>
    <col min="8964" max="8964" width="5.85546875" style="410" customWidth="1"/>
    <col min="8965" max="8965" width="29.85546875" style="410" customWidth="1"/>
    <col min="8966" max="8966" width="14" style="410" customWidth="1"/>
    <col min="8967" max="8967" width="12.42578125" style="410" customWidth="1"/>
    <col min="8968" max="8968" width="13.28515625" style="410" customWidth="1"/>
    <col min="8969" max="8969" width="12.85546875" style="410" customWidth="1"/>
    <col min="8970" max="9216" width="9.140625" style="410"/>
    <col min="9217" max="9217" width="3.28515625" style="410" customWidth="1"/>
    <col min="9218" max="9218" width="25.5703125" style="410" customWidth="1"/>
    <col min="9219" max="9219" width="8.7109375" style="410" customWidth="1"/>
    <col min="9220" max="9220" width="5.85546875" style="410" customWidth="1"/>
    <col min="9221" max="9221" width="29.85546875" style="410" customWidth="1"/>
    <col min="9222" max="9222" width="14" style="410" customWidth="1"/>
    <col min="9223" max="9223" width="12.42578125" style="410" customWidth="1"/>
    <col min="9224" max="9224" width="13.28515625" style="410" customWidth="1"/>
    <col min="9225" max="9225" width="12.85546875" style="410" customWidth="1"/>
    <col min="9226" max="9472" width="9.140625" style="410"/>
    <col min="9473" max="9473" width="3.28515625" style="410" customWidth="1"/>
    <col min="9474" max="9474" width="25.5703125" style="410" customWidth="1"/>
    <col min="9475" max="9475" width="8.7109375" style="410" customWidth="1"/>
    <col min="9476" max="9476" width="5.85546875" style="410" customWidth="1"/>
    <col min="9477" max="9477" width="29.85546875" style="410" customWidth="1"/>
    <col min="9478" max="9478" width="14" style="410" customWidth="1"/>
    <col min="9479" max="9479" width="12.42578125" style="410" customWidth="1"/>
    <col min="9480" max="9480" width="13.28515625" style="410" customWidth="1"/>
    <col min="9481" max="9481" width="12.85546875" style="410" customWidth="1"/>
    <col min="9482" max="9728" width="9.140625" style="410"/>
    <col min="9729" max="9729" width="3.28515625" style="410" customWidth="1"/>
    <col min="9730" max="9730" width="25.5703125" style="410" customWidth="1"/>
    <col min="9731" max="9731" width="8.7109375" style="410" customWidth="1"/>
    <col min="9732" max="9732" width="5.85546875" style="410" customWidth="1"/>
    <col min="9733" max="9733" width="29.85546875" style="410" customWidth="1"/>
    <col min="9734" max="9734" width="14" style="410" customWidth="1"/>
    <col min="9735" max="9735" width="12.42578125" style="410" customWidth="1"/>
    <col min="9736" max="9736" width="13.28515625" style="410" customWidth="1"/>
    <col min="9737" max="9737" width="12.85546875" style="410" customWidth="1"/>
    <col min="9738" max="9984" width="9.140625" style="410"/>
    <col min="9985" max="9985" width="3.28515625" style="410" customWidth="1"/>
    <col min="9986" max="9986" width="25.5703125" style="410" customWidth="1"/>
    <col min="9987" max="9987" width="8.7109375" style="410" customWidth="1"/>
    <col min="9988" max="9988" width="5.85546875" style="410" customWidth="1"/>
    <col min="9989" max="9989" width="29.85546875" style="410" customWidth="1"/>
    <col min="9990" max="9990" width="14" style="410" customWidth="1"/>
    <col min="9991" max="9991" width="12.42578125" style="410" customWidth="1"/>
    <col min="9992" max="9992" width="13.28515625" style="410" customWidth="1"/>
    <col min="9993" max="9993" width="12.85546875" style="410" customWidth="1"/>
    <col min="9994" max="10240" width="9.140625" style="410"/>
    <col min="10241" max="10241" width="3.28515625" style="410" customWidth="1"/>
    <col min="10242" max="10242" width="25.5703125" style="410" customWidth="1"/>
    <col min="10243" max="10243" width="8.7109375" style="410" customWidth="1"/>
    <col min="10244" max="10244" width="5.85546875" style="410" customWidth="1"/>
    <col min="10245" max="10245" width="29.85546875" style="410" customWidth="1"/>
    <col min="10246" max="10246" width="14" style="410" customWidth="1"/>
    <col min="10247" max="10247" width="12.42578125" style="410" customWidth="1"/>
    <col min="10248" max="10248" width="13.28515625" style="410" customWidth="1"/>
    <col min="10249" max="10249" width="12.85546875" style="410" customWidth="1"/>
    <col min="10250" max="10496" width="9.140625" style="410"/>
    <col min="10497" max="10497" width="3.28515625" style="410" customWidth="1"/>
    <col min="10498" max="10498" width="25.5703125" style="410" customWidth="1"/>
    <col min="10499" max="10499" width="8.7109375" style="410" customWidth="1"/>
    <col min="10500" max="10500" width="5.85546875" style="410" customWidth="1"/>
    <col min="10501" max="10501" width="29.85546875" style="410" customWidth="1"/>
    <col min="10502" max="10502" width="14" style="410" customWidth="1"/>
    <col min="10503" max="10503" width="12.42578125" style="410" customWidth="1"/>
    <col min="10504" max="10504" width="13.28515625" style="410" customWidth="1"/>
    <col min="10505" max="10505" width="12.85546875" style="410" customWidth="1"/>
    <col min="10506" max="10752" width="9.140625" style="410"/>
    <col min="10753" max="10753" width="3.28515625" style="410" customWidth="1"/>
    <col min="10754" max="10754" width="25.5703125" style="410" customWidth="1"/>
    <col min="10755" max="10755" width="8.7109375" style="410" customWidth="1"/>
    <col min="10756" max="10756" width="5.85546875" style="410" customWidth="1"/>
    <col min="10757" max="10757" width="29.85546875" style="410" customWidth="1"/>
    <col min="10758" max="10758" width="14" style="410" customWidth="1"/>
    <col min="10759" max="10759" width="12.42578125" style="410" customWidth="1"/>
    <col min="10760" max="10760" width="13.28515625" style="410" customWidth="1"/>
    <col min="10761" max="10761" width="12.85546875" style="410" customWidth="1"/>
    <col min="10762" max="11008" width="9.140625" style="410"/>
    <col min="11009" max="11009" width="3.28515625" style="410" customWidth="1"/>
    <col min="11010" max="11010" width="25.5703125" style="410" customWidth="1"/>
    <col min="11011" max="11011" width="8.7109375" style="410" customWidth="1"/>
    <col min="11012" max="11012" width="5.85546875" style="410" customWidth="1"/>
    <col min="11013" max="11013" width="29.85546875" style="410" customWidth="1"/>
    <col min="11014" max="11014" width="14" style="410" customWidth="1"/>
    <col min="11015" max="11015" width="12.42578125" style="410" customWidth="1"/>
    <col min="11016" max="11016" width="13.28515625" style="410" customWidth="1"/>
    <col min="11017" max="11017" width="12.85546875" style="410" customWidth="1"/>
    <col min="11018" max="11264" width="9.140625" style="410"/>
    <col min="11265" max="11265" width="3.28515625" style="410" customWidth="1"/>
    <col min="11266" max="11266" width="25.5703125" style="410" customWidth="1"/>
    <col min="11267" max="11267" width="8.7109375" style="410" customWidth="1"/>
    <col min="11268" max="11268" width="5.85546875" style="410" customWidth="1"/>
    <col min="11269" max="11269" width="29.85546875" style="410" customWidth="1"/>
    <col min="11270" max="11270" width="14" style="410" customWidth="1"/>
    <col min="11271" max="11271" width="12.42578125" style="410" customWidth="1"/>
    <col min="11272" max="11272" width="13.28515625" style="410" customWidth="1"/>
    <col min="11273" max="11273" width="12.85546875" style="410" customWidth="1"/>
    <col min="11274" max="11520" width="9.140625" style="410"/>
    <col min="11521" max="11521" width="3.28515625" style="410" customWidth="1"/>
    <col min="11522" max="11522" width="25.5703125" style="410" customWidth="1"/>
    <col min="11523" max="11523" width="8.7109375" style="410" customWidth="1"/>
    <col min="11524" max="11524" width="5.85546875" style="410" customWidth="1"/>
    <col min="11525" max="11525" width="29.85546875" style="410" customWidth="1"/>
    <col min="11526" max="11526" width="14" style="410" customWidth="1"/>
    <col min="11527" max="11527" width="12.42578125" style="410" customWidth="1"/>
    <col min="11528" max="11528" width="13.28515625" style="410" customWidth="1"/>
    <col min="11529" max="11529" width="12.85546875" style="410" customWidth="1"/>
    <col min="11530" max="11776" width="9.140625" style="410"/>
    <col min="11777" max="11777" width="3.28515625" style="410" customWidth="1"/>
    <col min="11778" max="11778" width="25.5703125" style="410" customWidth="1"/>
    <col min="11779" max="11779" width="8.7109375" style="410" customWidth="1"/>
    <col min="11780" max="11780" width="5.85546875" style="410" customWidth="1"/>
    <col min="11781" max="11781" width="29.85546875" style="410" customWidth="1"/>
    <col min="11782" max="11782" width="14" style="410" customWidth="1"/>
    <col min="11783" max="11783" width="12.42578125" style="410" customWidth="1"/>
    <col min="11784" max="11784" width="13.28515625" style="410" customWidth="1"/>
    <col min="11785" max="11785" width="12.85546875" style="410" customWidth="1"/>
    <col min="11786" max="12032" width="9.140625" style="410"/>
    <col min="12033" max="12033" width="3.28515625" style="410" customWidth="1"/>
    <col min="12034" max="12034" width="25.5703125" style="410" customWidth="1"/>
    <col min="12035" max="12035" width="8.7109375" style="410" customWidth="1"/>
    <col min="12036" max="12036" width="5.85546875" style="410" customWidth="1"/>
    <col min="12037" max="12037" width="29.85546875" style="410" customWidth="1"/>
    <col min="12038" max="12038" width="14" style="410" customWidth="1"/>
    <col min="12039" max="12039" width="12.42578125" style="410" customWidth="1"/>
    <col min="12040" max="12040" width="13.28515625" style="410" customWidth="1"/>
    <col min="12041" max="12041" width="12.85546875" style="410" customWidth="1"/>
    <col min="12042" max="12288" width="9.140625" style="410"/>
    <col min="12289" max="12289" width="3.28515625" style="410" customWidth="1"/>
    <col min="12290" max="12290" width="25.5703125" style="410" customWidth="1"/>
    <col min="12291" max="12291" width="8.7109375" style="410" customWidth="1"/>
    <col min="12292" max="12292" width="5.85546875" style="410" customWidth="1"/>
    <col min="12293" max="12293" width="29.85546875" style="410" customWidth="1"/>
    <col min="12294" max="12294" width="14" style="410" customWidth="1"/>
    <col min="12295" max="12295" width="12.42578125" style="410" customWidth="1"/>
    <col min="12296" max="12296" width="13.28515625" style="410" customWidth="1"/>
    <col min="12297" max="12297" width="12.85546875" style="410" customWidth="1"/>
    <col min="12298" max="12544" width="9.140625" style="410"/>
    <col min="12545" max="12545" width="3.28515625" style="410" customWidth="1"/>
    <col min="12546" max="12546" width="25.5703125" style="410" customWidth="1"/>
    <col min="12547" max="12547" width="8.7109375" style="410" customWidth="1"/>
    <col min="12548" max="12548" width="5.85546875" style="410" customWidth="1"/>
    <col min="12549" max="12549" width="29.85546875" style="410" customWidth="1"/>
    <col min="12550" max="12550" width="14" style="410" customWidth="1"/>
    <col min="12551" max="12551" width="12.42578125" style="410" customWidth="1"/>
    <col min="12552" max="12552" width="13.28515625" style="410" customWidth="1"/>
    <col min="12553" max="12553" width="12.85546875" style="410" customWidth="1"/>
    <col min="12554" max="12800" width="9.140625" style="410"/>
    <col min="12801" max="12801" width="3.28515625" style="410" customWidth="1"/>
    <col min="12802" max="12802" width="25.5703125" style="410" customWidth="1"/>
    <col min="12803" max="12803" width="8.7109375" style="410" customWidth="1"/>
    <col min="12804" max="12804" width="5.85546875" style="410" customWidth="1"/>
    <col min="12805" max="12805" width="29.85546875" style="410" customWidth="1"/>
    <col min="12806" max="12806" width="14" style="410" customWidth="1"/>
    <col min="12807" max="12807" width="12.42578125" style="410" customWidth="1"/>
    <col min="12808" max="12808" width="13.28515625" style="410" customWidth="1"/>
    <col min="12809" max="12809" width="12.85546875" style="410" customWidth="1"/>
    <col min="12810" max="13056" width="9.140625" style="410"/>
    <col min="13057" max="13057" width="3.28515625" style="410" customWidth="1"/>
    <col min="13058" max="13058" width="25.5703125" style="410" customWidth="1"/>
    <col min="13059" max="13059" width="8.7109375" style="410" customWidth="1"/>
    <col min="13060" max="13060" width="5.85546875" style="410" customWidth="1"/>
    <col min="13061" max="13061" width="29.85546875" style="410" customWidth="1"/>
    <col min="13062" max="13062" width="14" style="410" customWidth="1"/>
    <col min="13063" max="13063" width="12.42578125" style="410" customWidth="1"/>
    <col min="13064" max="13064" width="13.28515625" style="410" customWidth="1"/>
    <col min="13065" max="13065" width="12.85546875" style="410" customWidth="1"/>
    <col min="13066" max="13312" width="9.140625" style="410"/>
    <col min="13313" max="13313" width="3.28515625" style="410" customWidth="1"/>
    <col min="13314" max="13314" width="25.5703125" style="410" customWidth="1"/>
    <col min="13315" max="13315" width="8.7109375" style="410" customWidth="1"/>
    <col min="13316" max="13316" width="5.85546875" style="410" customWidth="1"/>
    <col min="13317" max="13317" width="29.85546875" style="410" customWidth="1"/>
    <col min="13318" max="13318" width="14" style="410" customWidth="1"/>
    <col min="13319" max="13319" width="12.42578125" style="410" customWidth="1"/>
    <col min="13320" max="13320" width="13.28515625" style="410" customWidth="1"/>
    <col min="13321" max="13321" width="12.85546875" style="410" customWidth="1"/>
    <col min="13322" max="13568" width="9.140625" style="410"/>
    <col min="13569" max="13569" width="3.28515625" style="410" customWidth="1"/>
    <col min="13570" max="13570" width="25.5703125" style="410" customWidth="1"/>
    <col min="13571" max="13571" width="8.7109375" style="410" customWidth="1"/>
    <col min="13572" max="13572" width="5.85546875" style="410" customWidth="1"/>
    <col min="13573" max="13573" width="29.85546875" style="410" customWidth="1"/>
    <col min="13574" max="13574" width="14" style="410" customWidth="1"/>
    <col min="13575" max="13575" width="12.42578125" style="410" customWidth="1"/>
    <col min="13576" max="13576" width="13.28515625" style="410" customWidth="1"/>
    <col min="13577" max="13577" width="12.85546875" style="410" customWidth="1"/>
    <col min="13578" max="13824" width="9.140625" style="410"/>
    <col min="13825" max="13825" width="3.28515625" style="410" customWidth="1"/>
    <col min="13826" max="13826" width="25.5703125" style="410" customWidth="1"/>
    <col min="13827" max="13827" width="8.7109375" style="410" customWidth="1"/>
    <col min="13828" max="13828" width="5.85546875" style="410" customWidth="1"/>
    <col min="13829" max="13829" width="29.85546875" style="410" customWidth="1"/>
    <col min="13830" max="13830" width="14" style="410" customWidth="1"/>
    <col min="13831" max="13831" width="12.42578125" style="410" customWidth="1"/>
    <col min="13832" max="13832" width="13.28515625" style="410" customWidth="1"/>
    <col min="13833" max="13833" width="12.85546875" style="410" customWidth="1"/>
    <col min="13834" max="14080" width="9.140625" style="410"/>
    <col min="14081" max="14081" width="3.28515625" style="410" customWidth="1"/>
    <col min="14082" max="14082" width="25.5703125" style="410" customWidth="1"/>
    <col min="14083" max="14083" width="8.7109375" style="410" customWidth="1"/>
    <col min="14084" max="14084" width="5.85546875" style="410" customWidth="1"/>
    <col min="14085" max="14085" width="29.85546875" style="410" customWidth="1"/>
    <col min="14086" max="14086" width="14" style="410" customWidth="1"/>
    <col min="14087" max="14087" width="12.42578125" style="410" customWidth="1"/>
    <col min="14088" max="14088" width="13.28515625" style="410" customWidth="1"/>
    <col min="14089" max="14089" width="12.85546875" style="410" customWidth="1"/>
    <col min="14090" max="14336" width="9.140625" style="410"/>
    <col min="14337" max="14337" width="3.28515625" style="410" customWidth="1"/>
    <col min="14338" max="14338" width="25.5703125" style="410" customWidth="1"/>
    <col min="14339" max="14339" width="8.7109375" style="410" customWidth="1"/>
    <col min="14340" max="14340" width="5.85546875" style="410" customWidth="1"/>
    <col min="14341" max="14341" width="29.85546875" style="410" customWidth="1"/>
    <col min="14342" max="14342" width="14" style="410" customWidth="1"/>
    <col min="14343" max="14343" width="12.42578125" style="410" customWidth="1"/>
    <col min="14344" max="14344" width="13.28515625" style="410" customWidth="1"/>
    <col min="14345" max="14345" width="12.85546875" style="410" customWidth="1"/>
    <col min="14346" max="14592" width="9.140625" style="410"/>
    <col min="14593" max="14593" width="3.28515625" style="410" customWidth="1"/>
    <col min="14594" max="14594" width="25.5703125" style="410" customWidth="1"/>
    <col min="14595" max="14595" width="8.7109375" style="410" customWidth="1"/>
    <col min="14596" max="14596" width="5.85546875" style="410" customWidth="1"/>
    <col min="14597" max="14597" width="29.85546875" style="410" customWidth="1"/>
    <col min="14598" max="14598" width="14" style="410" customWidth="1"/>
    <col min="14599" max="14599" width="12.42578125" style="410" customWidth="1"/>
    <col min="14600" max="14600" width="13.28515625" style="410" customWidth="1"/>
    <col min="14601" max="14601" width="12.85546875" style="410" customWidth="1"/>
    <col min="14602" max="14848" width="9.140625" style="410"/>
    <col min="14849" max="14849" width="3.28515625" style="410" customWidth="1"/>
    <col min="14850" max="14850" width="25.5703125" style="410" customWidth="1"/>
    <col min="14851" max="14851" width="8.7109375" style="410" customWidth="1"/>
    <col min="14852" max="14852" width="5.85546875" style="410" customWidth="1"/>
    <col min="14853" max="14853" width="29.85546875" style="410" customWidth="1"/>
    <col min="14854" max="14854" width="14" style="410" customWidth="1"/>
    <col min="14855" max="14855" width="12.42578125" style="410" customWidth="1"/>
    <col min="14856" max="14856" width="13.28515625" style="410" customWidth="1"/>
    <col min="14857" max="14857" width="12.85546875" style="410" customWidth="1"/>
    <col min="14858" max="15104" width="9.140625" style="410"/>
    <col min="15105" max="15105" width="3.28515625" style="410" customWidth="1"/>
    <col min="15106" max="15106" width="25.5703125" style="410" customWidth="1"/>
    <col min="15107" max="15107" width="8.7109375" style="410" customWidth="1"/>
    <col min="15108" max="15108" width="5.85546875" style="410" customWidth="1"/>
    <col min="15109" max="15109" width="29.85546875" style="410" customWidth="1"/>
    <col min="15110" max="15110" width="14" style="410" customWidth="1"/>
    <col min="15111" max="15111" width="12.42578125" style="410" customWidth="1"/>
    <col min="15112" max="15112" width="13.28515625" style="410" customWidth="1"/>
    <col min="15113" max="15113" width="12.85546875" style="410" customWidth="1"/>
    <col min="15114" max="15360" width="9.140625" style="410"/>
    <col min="15361" max="15361" width="3.28515625" style="410" customWidth="1"/>
    <col min="15362" max="15362" width="25.5703125" style="410" customWidth="1"/>
    <col min="15363" max="15363" width="8.7109375" style="410" customWidth="1"/>
    <col min="15364" max="15364" width="5.85546875" style="410" customWidth="1"/>
    <col min="15365" max="15365" width="29.85546875" style="410" customWidth="1"/>
    <col min="15366" max="15366" width="14" style="410" customWidth="1"/>
    <col min="15367" max="15367" width="12.42578125" style="410" customWidth="1"/>
    <col min="15368" max="15368" width="13.28515625" style="410" customWidth="1"/>
    <col min="15369" max="15369" width="12.85546875" style="410" customWidth="1"/>
    <col min="15370" max="15616" width="9.140625" style="410"/>
    <col min="15617" max="15617" width="3.28515625" style="410" customWidth="1"/>
    <col min="15618" max="15618" width="25.5703125" style="410" customWidth="1"/>
    <col min="15619" max="15619" width="8.7109375" style="410" customWidth="1"/>
    <col min="15620" max="15620" width="5.85546875" style="410" customWidth="1"/>
    <col min="15621" max="15621" width="29.85546875" style="410" customWidth="1"/>
    <col min="15622" max="15622" width="14" style="410" customWidth="1"/>
    <col min="15623" max="15623" width="12.42578125" style="410" customWidth="1"/>
    <col min="15624" max="15624" width="13.28515625" style="410" customWidth="1"/>
    <col min="15625" max="15625" width="12.85546875" style="410" customWidth="1"/>
    <col min="15626" max="15872" width="9.140625" style="410"/>
    <col min="15873" max="15873" width="3.28515625" style="410" customWidth="1"/>
    <col min="15874" max="15874" width="25.5703125" style="410" customWidth="1"/>
    <col min="15875" max="15875" width="8.7109375" style="410" customWidth="1"/>
    <col min="15876" max="15876" width="5.85546875" style="410" customWidth="1"/>
    <col min="15877" max="15877" width="29.85546875" style="410" customWidth="1"/>
    <col min="15878" max="15878" width="14" style="410" customWidth="1"/>
    <col min="15879" max="15879" width="12.42578125" style="410" customWidth="1"/>
    <col min="15880" max="15880" width="13.28515625" style="410" customWidth="1"/>
    <col min="15881" max="15881" width="12.85546875" style="410" customWidth="1"/>
    <col min="15882" max="16128" width="9.140625" style="410"/>
    <col min="16129" max="16129" width="3.28515625" style="410" customWidth="1"/>
    <col min="16130" max="16130" width="25.5703125" style="410" customWidth="1"/>
    <col min="16131" max="16131" width="8.7109375" style="410" customWidth="1"/>
    <col min="16132" max="16132" width="5.85546875" style="410" customWidth="1"/>
    <col min="16133" max="16133" width="29.85546875" style="410" customWidth="1"/>
    <col min="16134" max="16134" width="14" style="410" customWidth="1"/>
    <col min="16135" max="16135" width="12.42578125" style="410" customWidth="1"/>
    <col min="16136" max="16136" width="13.28515625" style="410" customWidth="1"/>
    <col min="16137" max="16137" width="12.85546875" style="410" customWidth="1"/>
    <col min="16138" max="16384" width="9.140625" style="410"/>
  </cols>
  <sheetData>
    <row r="1" spans="1:12" hidden="1" x14ac:dyDescent="0.2">
      <c r="A1" s="407"/>
      <c r="B1" s="408"/>
      <c r="C1" s="408"/>
      <c r="D1" s="408"/>
      <c r="E1" s="758"/>
      <c r="F1" s="758"/>
      <c r="G1" s="758"/>
      <c r="H1" s="409"/>
    </row>
    <row r="2" spans="1:12" ht="36" hidden="1" customHeight="1" x14ac:dyDescent="0.2">
      <c r="A2" s="407"/>
      <c r="B2" s="408"/>
      <c r="C2" s="408"/>
      <c r="D2" s="408"/>
      <c r="E2" s="759"/>
      <c r="F2" s="759"/>
      <c r="G2" s="759"/>
      <c r="H2" s="411"/>
    </row>
    <row r="3" spans="1:12" ht="3" hidden="1" customHeight="1" x14ac:dyDescent="0.2">
      <c r="A3" s="407"/>
      <c r="B3" s="408"/>
      <c r="C3" s="408"/>
      <c r="D3" s="408"/>
      <c r="E3" s="760"/>
      <c r="F3" s="760"/>
      <c r="G3" s="760"/>
      <c r="H3" s="760"/>
      <c r="J3" s="412"/>
    </row>
    <row r="4" spans="1:12" ht="14.25" hidden="1" customHeight="1" x14ac:dyDescent="0.2">
      <c r="A4" s="407"/>
      <c r="B4" s="408"/>
      <c r="C4" s="408"/>
      <c r="D4" s="413"/>
      <c r="E4" s="758"/>
      <c r="F4" s="758"/>
      <c r="G4" s="758"/>
      <c r="H4" s="409"/>
    </row>
    <row r="5" spans="1:12" ht="15.75" hidden="1" customHeight="1" x14ac:dyDescent="0.2">
      <c r="A5" s="414"/>
      <c r="B5" s="415"/>
      <c r="C5" s="414"/>
      <c r="D5" s="415"/>
      <c r="E5" s="761"/>
      <c r="F5" s="761"/>
      <c r="G5" s="761"/>
      <c r="H5" s="246"/>
    </row>
    <row r="6" spans="1:12" ht="11.25" hidden="1" customHeight="1" x14ac:dyDescent="0.2">
      <c r="A6" s="762"/>
      <c r="B6" s="762"/>
      <c r="C6" s="414"/>
      <c r="D6" s="415"/>
      <c r="E6" s="763"/>
      <c r="F6" s="763"/>
      <c r="G6" s="763"/>
    </row>
    <row r="7" spans="1:12" ht="24.75" hidden="1" customHeight="1" x14ac:dyDescent="0.25">
      <c r="A7" s="764"/>
      <c r="B7" s="762"/>
      <c r="C7" s="414"/>
      <c r="D7" s="415"/>
      <c r="E7" s="765"/>
      <c r="F7" s="765"/>
      <c r="G7" s="765"/>
      <c r="L7" s="416"/>
    </row>
    <row r="8" spans="1:12" ht="12.75" hidden="1" customHeight="1" x14ac:dyDescent="0.2">
      <c r="A8" s="414"/>
      <c r="B8" s="415"/>
      <c r="C8" s="414"/>
      <c r="D8" s="415"/>
      <c r="E8" s="756"/>
      <c r="F8" s="756"/>
      <c r="G8" s="756"/>
      <c r="I8" s="410" t="s">
        <v>269</v>
      </c>
    </row>
    <row r="9" spans="1:12" x14ac:dyDescent="0.2">
      <c r="B9" s="417"/>
      <c r="C9" s="418"/>
      <c r="D9" s="408"/>
      <c r="E9" s="419"/>
      <c r="F9" s="408"/>
    </row>
    <row r="10" spans="1:12" ht="15.75" customHeight="1" x14ac:dyDescent="0.2">
      <c r="A10" s="750" t="str">
        <f>CONCATENATE("ЛОКАЛЬНАЯ СМЕТА №",[43]ССР!B19)</f>
        <v>ЛОКАЛЬНАЯ СМЕТА №1</v>
      </c>
      <c r="B10" s="750"/>
      <c r="C10" s="750"/>
      <c r="D10" s="750"/>
      <c r="E10" s="750"/>
      <c r="F10" s="750"/>
      <c r="G10" s="750"/>
      <c r="I10" s="420">
        <v>7913</v>
      </c>
    </row>
    <row r="11" spans="1:12" hidden="1" x14ac:dyDescent="0.2">
      <c r="A11" s="749" t="str">
        <f>[43]ССР!A11</f>
        <v>на выполнение проектно-изыскательских работ по</v>
      </c>
      <c r="B11" s="749"/>
      <c r="C11" s="749"/>
      <c r="D11" s="749"/>
      <c r="E11" s="749"/>
      <c r="F11" s="749"/>
      <c r="G11" s="749"/>
      <c r="I11" s="420"/>
    </row>
    <row r="12" spans="1:12" ht="37.5" customHeight="1" x14ac:dyDescent="0.2">
      <c r="A12" s="751"/>
      <c r="B12" s="751"/>
      <c r="C12" s="751"/>
      <c r="D12" s="751"/>
      <c r="E12" s="751"/>
      <c r="F12" s="751"/>
      <c r="G12" s="751"/>
      <c r="I12" s="420"/>
    </row>
    <row r="13" spans="1:12" ht="15.75" customHeight="1" x14ac:dyDescent="0.2">
      <c r="A13" s="750" t="s">
        <v>372</v>
      </c>
      <c r="B13" s="750"/>
      <c r="C13" s="750"/>
      <c r="D13" s="750"/>
      <c r="E13" s="750"/>
      <c r="F13" s="750"/>
      <c r="G13" s="750"/>
      <c r="I13" s="420">
        <v>4</v>
      </c>
    </row>
    <row r="14" spans="1:12" ht="8.25" customHeight="1" thickBot="1" x14ac:dyDescent="0.25">
      <c r="A14" s="757"/>
      <c r="B14" s="757"/>
      <c r="C14" s="757"/>
      <c r="D14" s="757"/>
      <c r="E14" s="757"/>
      <c r="F14" s="757"/>
      <c r="G14" s="757"/>
      <c r="I14" s="420" t="s">
        <v>270</v>
      </c>
    </row>
    <row r="15" spans="1:12" ht="61.5" customHeight="1" thickBot="1" x14ac:dyDescent="0.25">
      <c r="A15" s="421" t="s">
        <v>62</v>
      </c>
      <c r="B15" s="422" t="s">
        <v>271</v>
      </c>
      <c r="C15" s="421" t="s">
        <v>64</v>
      </c>
      <c r="D15" s="421" t="s">
        <v>272</v>
      </c>
      <c r="E15" s="423" t="s">
        <v>273</v>
      </c>
      <c r="F15" s="424" t="s">
        <v>274</v>
      </c>
      <c r="G15" s="424" t="s">
        <v>275</v>
      </c>
    </row>
    <row r="16" spans="1:12" ht="15.75" thickBot="1" x14ac:dyDescent="0.25">
      <c r="A16" s="425" t="s">
        <v>276</v>
      </c>
      <c r="B16" s="752" t="s">
        <v>277</v>
      </c>
      <c r="C16" s="753"/>
      <c r="D16" s="753"/>
      <c r="E16" s="753"/>
      <c r="F16" s="753"/>
      <c r="G16" s="754"/>
    </row>
    <row r="17" spans="1:12" s="416" customFormat="1" ht="99.75" customHeight="1" x14ac:dyDescent="0.25">
      <c r="A17" s="426">
        <v>1</v>
      </c>
      <c r="B17" s="427" t="s">
        <v>278</v>
      </c>
      <c r="C17" s="428" t="s">
        <v>279</v>
      </c>
      <c r="D17" s="429">
        <v>2.97</v>
      </c>
      <c r="E17" s="430" t="s">
        <v>373</v>
      </c>
      <c r="F17" s="431" t="str">
        <f>CONCATENATE(I10,"*1,55*",D17)</f>
        <v>7913*1,55*2,97</v>
      </c>
      <c r="G17" s="432">
        <f>I10*1.55*D17</f>
        <v>36427.495500000005</v>
      </c>
      <c r="H17" s="410"/>
      <c r="I17" s="410"/>
      <c r="J17" s="410"/>
    </row>
    <row r="18" spans="1:12" ht="16.5" thickBot="1" x14ac:dyDescent="0.3">
      <c r="A18" s="433">
        <v>2</v>
      </c>
      <c r="B18" s="434" t="s">
        <v>280</v>
      </c>
      <c r="C18" s="435"/>
      <c r="D18" s="436"/>
      <c r="E18" s="437"/>
      <c r="F18" s="438"/>
      <c r="G18" s="432">
        <f>G17</f>
        <v>36427.495500000005</v>
      </c>
      <c r="L18" s="416"/>
    </row>
    <row r="19" spans="1:12" ht="15.75" thickBot="1" x14ac:dyDescent="0.25">
      <c r="A19" s="439" t="s">
        <v>281</v>
      </c>
      <c r="B19" s="745" t="s">
        <v>282</v>
      </c>
      <c r="C19" s="746"/>
      <c r="D19" s="746"/>
      <c r="E19" s="746"/>
      <c r="F19" s="746"/>
      <c r="G19" s="747"/>
      <c r="H19" s="440"/>
    </row>
    <row r="20" spans="1:12" ht="207" customHeight="1" x14ac:dyDescent="0.2">
      <c r="A20" s="441">
        <v>1</v>
      </c>
      <c r="B20" s="427" t="s">
        <v>283</v>
      </c>
      <c r="C20" s="428" t="s">
        <v>279</v>
      </c>
      <c r="D20" s="429">
        <v>2.97</v>
      </c>
      <c r="E20" s="430" t="s">
        <v>284</v>
      </c>
      <c r="F20" s="442" t="str">
        <f>CONCATENATE(I13,"*1,3*1,75",D20)</f>
        <v>4*1,3*1,752,97</v>
      </c>
      <c r="G20" s="432">
        <f>I13*1.3*1.75*D20</f>
        <v>27.027000000000001</v>
      </c>
    </row>
    <row r="21" spans="1:12" ht="45" x14ac:dyDescent="0.2">
      <c r="A21" s="426">
        <v>2</v>
      </c>
      <c r="B21" s="427" t="s">
        <v>285</v>
      </c>
      <c r="C21" s="442" t="s">
        <v>286</v>
      </c>
      <c r="D21" s="426">
        <v>1</v>
      </c>
      <c r="E21" s="443" t="s">
        <v>287</v>
      </c>
      <c r="F21" s="444" t="str">
        <f>CONCATENATE(I14," ",ROUND(SUM(G18,G20),1))</f>
        <v>10% от 36454,5</v>
      </c>
      <c r="G21" s="432">
        <f>SUM(G18,G20)*(10/100)</f>
        <v>3645.4522500000007</v>
      </c>
    </row>
    <row r="22" spans="1:12" ht="15.75" thickBot="1" x14ac:dyDescent="0.25">
      <c r="A22" s="433">
        <v>3</v>
      </c>
      <c r="B22" s="434" t="s">
        <v>288</v>
      </c>
      <c r="C22" s="435"/>
      <c r="D22" s="445"/>
      <c r="E22" s="437"/>
      <c r="F22" s="438"/>
      <c r="G22" s="446">
        <f>G20+G21</f>
        <v>3672.4792500000008</v>
      </c>
    </row>
    <row r="23" spans="1:12" ht="16.5" customHeight="1" thickBot="1" x14ac:dyDescent="0.25">
      <c r="A23" s="439" t="s">
        <v>289</v>
      </c>
      <c r="B23" s="447" t="s">
        <v>290</v>
      </c>
      <c r="C23" s="424"/>
      <c r="D23" s="423"/>
      <c r="E23" s="448"/>
      <c r="F23" s="449"/>
      <c r="G23" s="450">
        <f>SUM(G22:G22)+G18</f>
        <v>40099.974750000008</v>
      </c>
    </row>
    <row r="24" spans="1:12" ht="16.5" customHeight="1" thickBot="1" x14ac:dyDescent="0.25">
      <c r="A24" s="439"/>
      <c r="B24" s="447" t="s">
        <v>362</v>
      </c>
      <c r="C24" s="424"/>
      <c r="D24" s="423"/>
      <c r="E24" s="448"/>
      <c r="F24" s="449"/>
      <c r="G24" s="450">
        <f>G23*10%</f>
        <v>4009.997475000001</v>
      </c>
    </row>
    <row r="25" spans="1:12" ht="16.5" customHeight="1" thickBot="1" x14ac:dyDescent="0.25">
      <c r="A25" s="439"/>
      <c r="B25" s="447" t="s">
        <v>363</v>
      </c>
      <c r="C25" s="424"/>
      <c r="D25" s="423"/>
      <c r="E25" s="448"/>
      <c r="F25" s="449"/>
      <c r="G25" s="450">
        <f>G23+G24</f>
        <v>44109.972225000012</v>
      </c>
    </row>
    <row r="26" spans="1:12" ht="53.25" customHeight="1" thickBot="1" x14ac:dyDescent="0.25">
      <c r="A26" s="439" t="s">
        <v>291</v>
      </c>
      <c r="B26" s="451" t="s">
        <v>292</v>
      </c>
      <c r="C26" s="424"/>
      <c r="D26" s="423"/>
      <c r="E26" s="448" t="s">
        <v>303</v>
      </c>
      <c r="F26" s="449"/>
      <c r="G26" s="450">
        <f>G25*3.83</f>
        <v>168941.19362175005</v>
      </c>
    </row>
    <row r="28" spans="1:12" ht="15.75" customHeight="1" x14ac:dyDescent="0.2">
      <c r="A28" s="748"/>
      <c r="B28" s="748"/>
      <c r="C28" s="748"/>
      <c r="D28" s="748"/>
    </row>
    <row r="29" spans="1:12" x14ac:dyDescent="0.2">
      <c r="B29" s="453"/>
      <c r="C29" s="453"/>
      <c r="D29" s="454"/>
      <c r="E29" s="455"/>
    </row>
    <row r="30" spans="1:12" x14ac:dyDescent="0.2">
      <c r="B30" s="456" t="s">
        <v>293</v>
      </c>
      <c r="C30" s="454"/>
      <c r="D30" s="454"/>
      <c r="E30" s="455"/>
    </row>
    <row r="31" spans="1:12" x14ac:dyDescent="0.2">
      <c r="B31" s="456"/>
    </row>
    <row r="32" spans="1:12" x14ac:dyDescent="0.2">
      <c r="B32" s="456"/>
    </row>
    <row r="33" spans="2:2" x14ac:dyDescent="0.2">
      <c r="B33" s="456" t="s">
        <v>294</v>
      </c>
    </row>
    <row r="53" ht="15.75" customHeight="1" x14ac:dyDescent="0.2"/>
    <row r="54" ht="15.75" customHeight="1" x14ac:dyDescent="0.2"/>
    <row r="55" ht="15" customHeight="1" x14ac:dyDescent="0.2"/>
    <row r="56" ht="15.75" customHeight="1" x14ac:dyDescent="0.2"/>
  </sheetData>
  <mergeCells count="18">
    <mergeCell ref="A12:G12"/>
    <mergeCell ref="E1:G1"/>
    <mergeCell ref="E2:G2"/>
    <mergeCell ref="E3:H3"/>
    <mergeCell ref="E4:G4"/>
    <mergeCell ref="E5:G5"/>
    <mergeCell ref="A6:B6"/>
    <mergeCell ref="E6:G6"/>
    <mergeCell ref="A7:B7"/>
    <mergeCell ref="E7:G7"/>
    <mergeCell ref="E8:G8"/>
    <mergeCell ref="A10:G10"/>
    <mergeCell ref="A11:G11"/>
    <mergeCell ref="A13:G13"/>
    <mergeCell ref="A14:G14"/>
    <mergeCell ref="B16:G16"/>
    <mergeCell ref="B19:G19"/>
    <mergeCell ref="A28:D28"/>
  </mergeCells>
  <pageMargins left="0.7" right="0.7" top="0.75" bottom="0.75" header="0.3" footer="0.3"/>
  <pageSetup paperSize="9" scale="88" fitToHeight="0" orientation="portrait" horizontalDpi="4294967294" r:id="rId1"/>
  <rowBreaks count="1" manualBreakCount="1">
    <brk id="32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30"/>
  <sheetViews>
    <sheetView workbookViewId="0">
      <selection activeCell="E7" sqref="E7"/>
    </sheetView>
  </sheetViews>
  <sheetFormatPr defaultRowHeight="15" x14ac:dyDescent="0.25"/>
  <cols>
    <col min="1" max="1" width="6.85546875" customWidth="1"/>
    <col min="2" max="2" width="42.42578125" customWidth="1"/>
    <col min="3" max="3" width="10.140625" customWidth="1"/>
    <col min="4" max="4" width="9.42578125" customWidth="1"/>
    <col min="5" max="5" width="20.140625" customWidth="1"/>
    <col min="6" max="6" width="16.7109375" customWidth="1"/>
    <col min="7" max="7" width="2.42578125" hidden="1" customWidth="1"/>
    <col min="8" max="8" width="13.140625" style="559" bestFit="1" customWidth="1"/>
    <col min="9" max="15" width="9.140625" style="541" customWidth="1"/>
    <col min="16" max="16" width="9.140625" style="557" customWidth="1"/>
    <col min="254" max="254" width="6.85546875" customWidth="1"/>
    <col min="255" max="255" width="42.42578125" customWidth="1"/>
    <col min="256" max="256" width="10.140625" customWidth="1"/>
    <col min="257" max="257" width="9.42578125" customWidth="1"/>
    <col min="258" max="258" width="20.140625" customWidth="1"/>
    <col min="259" max="259" width="16.7109375" customWidth="1"/>
    <col min="260" max="260" width="0" hidden="1" customWidth="1"/>
    <col min="261" max="261" width="13.140625" bestFit="1" customWidth="1"/>
    <col min="262" max="262" width="18.7109375" customWidth="1"/>
    <col min="263" max="263" width="9.140625" customWidth="1"/>
    <col min="264" max="264" width="9.42578125" customWidth="1"/>
    <col min="265" max="272" width="9.140625" customWidth="1"/>
    <col min="510" max="510" width="6.85546875" customWidth="1"/>
    <col min="511" max="511" width="42.42578125" customWidth="1"/>
    <col min="512" max="512" width="10.140625" customWidth="1"/>
    <col min="513" max="513" width="9.42578125" customWidth="1"/>
    <col min="514" max="514" width="20.140625" customWidth="1"/>
    <col min="515" max="515" width="16.7109375" customWidth="1"/>
    <col min="516" max="516" width="0" hidden="1" customWidth="1"/>
    <col min="517" max="517" width="13.140625" bestFit="1" customWidth="1"/>
    <col min="518" max="518" width="18.7109375" customWidth="1"/>
    <col min="519" max="519" width="9.140625" customWidth="1"/>
    <col min="520" max="520" width="9.42578125" customWidth="1"/>
    <col min="521" max="528" width="9.140625" customWidth="1"/>
    <col min="766" max="766" width="6.85546875" customWidth="1"/>
    <col min="767" max="767" width="42.42578125" customWidth="1"/>
    <col min="768" max="768" width="10.140625" customWidth="1"/>
    <col min="769" max="769" width="9.42578125" customWidth="1"/>
    <col min="770" max="770" width="20.140625" customWidth="1"/>
    <col min="771" max="771" width="16.7109375" customWidth="1"/>
    <col min="772" max="772" width="0" hidden="1" customWidth="1"/>
    <col min="773" max="773" width="13.140625" bestFit="1" customWidth="1"/>
    <col min="774" max="774" width="18.7109375" customWidth="1"/>
    <col min="775" max="775" width="9.140625" customWidth="1"/>
    <col min="776" max="776" width="9.42578125" customWidth="1"/>
    <col min="777" max="784" width="9.140625" customWidth="1"/>
    <col min="1022" max="1022" width="6.85546875" customWidth="1"/>
    <col min="1023" max="1023" width="42.42578125" customWidth="1"/>
    <col min="1024" max="1024" width="10.140625" customWidth="1"/>
    <col min="1025" max="1025" width="9.42578125" customWidth="1"/>
    <col min="1026" max="1026" width="20.140625" customWidth="1"/>
    <col min="1027" max="1027" width="16.7109375" customWidth="1"/>
    <col min="1028" max="1028" width="0" hidden="1" customWidth="1"/>
    <col min="1029" max="1029" width="13.140625" bestFit="1" customWidth="1"/>
    <col min="1030" max="1030" width="18.7109375" customWidth="1"/>
    <col min="1031" max="1031" width="9.140625" customWidth="1"/>
    <col min="1032" max="1032" width="9.42578125" customWidth="1"/>
    <col min="1033" max="1040" width="9.140625" customWidth="1"/>
    <col min="1278" max="1278" width="6.85546875" customWidth="1"/>
    <col min="1279" max="1279" width="42.42578125" customWidth="1"/>
    <col min="1280" max="1280" width="10.140625" customWidth="1"/>
    <col min="1281" max="1281" width="9.42578125" customWidth="1"/>
    <col min="1282" max="1282" width="20.140625" customWidth="1"/>
    <col min="1283" max="1283" width="16.7109375" customWidth="1"/>
    <col min="1284" max="1284" width="0" hidden="1" customWidth="1"/>
    <col min="1285" max="1285" width="13.140625" bestFit="1" customWidth="1"/>
    <col min="1286" max="1286" width="18.7109375" customWidth="1"/>
    <col min="1287" max="1287" width="9.140625" customWidth="1"/>
    <col min="1288" max="1288" width="9.42578125" customWidth="1"/>
    <col min="1289" max="1296" width="9.140625" customWidth="1"/>
    <col min="1534" max="1534" width="6.85546875" customWidth="1"/>
    <col min="1535" max="1535" width="42.42578125" customWidth="1"/>
    <col min="1536" max="1536" width="10.140625" customWidth="1"/>
    <col min="1537" max="1537" width="9.42578125" customWidth="1"/>
    <col min="1538" max="1538" width="20.140625" customWidth="1"/>
    <col min="1539" max="1539" width="16.7109375" customWidth="1"/>
    <col min="1540" max="1540" width="0" hidden="1" customWidth="1"/>
    <col min="1541" max="1541" width="13.140625" bestFit="1" customWidth="1"/>
    <col min="1542" max="1542" width="18.7109375" customWidth="1"/>
    <col min="1543" max="1543" width="9.140625" customWidth="1"/>
    <col min="1544" max="1544" width="9.42578125" customWidth="1"/>
    <col min="1545" max="1552" width="9.140625" customWidth="1"/>
    <col min="1790" max="1790" width="6.85546875" customWidth="1"/>
    <col min="1791" max="1791" width="42.42578125" customWidth="1"/>
    <col min="1792" max="1792" width="10.140625" customWidth="1"/>
    <col min="1793" max="1793" width="9.42578125" customWidth="1"/>
    <col min="1794" max="1794" width="20.140625" customWidth="1"/>
    <col min="1795" max="1795" width="16.7109375" customWidth="1"/>
    <col min="1796" max="1796" width="0" hidden="1" customWidth="1"/>
    <col min="1797" max="1797" width="13.140625" bestFit="1" customWidth="1"/>
    <col min="1798" max="1798" width="18.7109375" customWidth="1"/>
    <col min="1799" max="1799" width="9.140625" customWidth="1"/>
    <col min="1800" max="1800" width="9.42578125" customWidth="1"/>
    <col min="1801" max="1808" width="9.140625" customWidth="1"/>
    <col min="2046" max="2046" width="6.85546875" customWidth="1"/>
    <col min="2047" max="2047" width="42.42578125" customWidth="1"/>
    <col min="2048" max="2048" width="10.140625" customWidth="1"/>
    <col min="2049" max="2049" width="9.42578125" customWidth="1"/>
    <col min="2050" max="2050" width="20.140625" customWidth="1"/>
    <col min="2051" max="2051" width="16.7109375" customWidth="1"/>
    <col min="2052" max="2052" width="0" hidden="1" customWidth="1"/>
    <col min="2053" max="2053" width="13.140625" bestFit="1" customWidth="1"/>
    <col min="2054" max="2054" width="18.7109375" customWidth="1"/>
    <col min="2055" max="2055" width="9.140625" customWidth="1"/>
    <col min="2056" max="2056" width="9.42578125" customWidth="1"/>
    <col min="2057" max="2064" width="9.140625" customWidth="1"/>
    <col min="2302" max="2302" width="6.85546875" customWidth="1"/>
    <col min="2303" max="2303" width="42.42578125" customWidth="1"/>
    <col min="2304" max="2304" width="10.140625" customWidth="1"/>
    <col min="2305" max="2305" width="9.42578125" customWidth="1"/>
    <col min="2306" max="2306" width="20.140625" customWidth="1"/>
    <col min="2307" max="2307" width="16.7109375" customWidth="1"/>
    <col min="2308" max="2308" width="0" hidden="1" customWidth="1"/>
    <col min="2309" max="2309" width="13.140625" bestFit="1" customWidth="1"/>
    <col min="2310" max="2310" width="18.7109375" customWidth="1"/>
    <col min="2311" max="2311" width="9.140625" customWidth="1"/>
    <col min="2312" max="2312" width="9.42578125" customWidth="1"/>
    <col min="2313" max="2320" width="9.140625" customWidth="1"/>
    <col min="2558" max="2558" width="6.85546875" customWidth="1"/>
    <col min="2559" max="2559" width="42.42578125" customWidth="1"/>
    <col min="2560" max="2560" width="10.140625" customWidth="1"/>
    <col min="2561" max="2561" width="9.42578125" customWidth="1"/>
    <col min="2562" max="2562" width="20.140625" customWidth="1"/>
    <col min="2563" max="2563" width="16.7109375" customWidth="1"/>
    <col min="2564" max="2564" width="0" hidden="1" customWidth="1"/>
    <col min="2565" max="2565" width="13.140625" bestFit="1" customWidth="1"/>
    <col min="2566" max="2566" width="18.7109375" customWidth="1"/>
    <col min="2567" max="2567" width="9.140625" customWidth="1"/>
    <col min="2568" max="2568" width="9.42578125" customWidth="1"/>
    <col min="2569" max="2576" width="9.140625" customWidth="1"/>
    <col min="2814" max="2814" width="6.85546875" customWidth="1"/>
    <col min="2815" max="2815" width="42.42578125" customWidth="1"/>
    <col min="2816" max="2816" width="10.140625" customWidth="1"/>
    <col min="2817" max="2817" width="9.42578125" customWidth="1"/>
    <col min="2818" max="2818" width="20.140625" customWidth="1"/>
    <col min="2819" max="2819" width="16.7109375" customWidth="1"/>
    <col min="2820" max="2820" width="0" hidden="1" customWidth="1"/>
    <col min="2821" max="2821" width="13.140625" bestFit="1" customWidth="1"/>
    <col min="2822" max="2822" width="18.7109375" customWidth="1"/>
    <col min="2823" max="2823" width="9.140625" customWidth="1"/>
    <col min="2824" max="2824" width="9.42578125" customWidth="1"/>
    <col min="2825" max="2832" width="9.140625" customWidth="1"/>
    <col min="3070" max="3070" width="6.85546875" customWidth="1"/>
    <col min="3071" max="3071" width="42.42578125" customWidth="1"/>
    <col min="3072" max="3072" width="10.140625" customWidth="1"/>
    <col min="3073" max="3073" width="9.42578125" customWidth="1"/>
    <col min="3074" max="3074" width="20.140625" customWidth="1"/>
    <col min="3075" max="3075" width="16.7109375" customWidth="1"/>
    <col min="3076" max="3076" width="0" hidden="1" customWidth="1"/>
    <col min="3077" max="3077" width="13.140625" bestFit="1" customWidth="1"/>
    <col min="3078" max="3078" width="18.7109375" customWidth="1"/>
    <col min="3079" max="3079" width="9.140625" customWidth="1"/>
    <col min="3080" max="3080" width="9.42578125" customWidth="1"/>
    <col min="3081" max="3088" width="9.140625" customWidth="1"/>
    <col min="3326" max="3326" width="6.85546875" customWidth="1"/>
    <col min="3327" max="3327" width="42.42578125" customWidth="1"/>
    <col min="3328" max="3328" width="10.140625" customWidth="1"/>
    <col min="3329" max="3329" width="9.42578125" customWidth="1"/>
    <col min="3330" max="3330" width="20.140625" customWidth="1"/>
    <col min="3331" max="3331" width="16.7109375" customWidth="1"/>
    <col min="3332" max="3332" width="0" hidden="1" customWidth="1"/>
    <col min="3333" max="3333" width="13.140625" bestFit="1" customWidth="1"/>
    <col min="3334" max="3334" width="18.7109375" customWidth="1"/>
    <col min="3335" max="3335" width="9.140625" customWidth="1"/>
    <col min="3336" max="3336" width="9.42578125" customWidth="1"/>
    <col min="3337" max="3344" width="9.140625" customWidth="1"/>
    <col min="3582" max="3582" width="6.85546875" customWidth="1"/>
    <col min="3583" max="3583" width="42.42578125" customWidth="1"/>
    <col min="3584" max="3584" width="10.140625" customWidth="1"/>
    <col min="3585" max="3585" width="9.42578125" customWidth="1"/>
    <col min="3586" max="3586" width="20.140625" customWidth="1"/>
    <col min="3587" max="3587" width="16.7109375" customWidth="1"/>
    <col min="3588" max="3588" width="0" hidden="1" customWidth="1"/>
    <col min="3589" max="3589" width="13.140625" bestFit="1" customWidth="1"/>
    <col min="3590" max="3590" width="18.7109375" customWidth="1"/>
    <col min="3591" max="3591" width="9.140625" customWidth="1"/>
    <col min="3592" max="3592" width="9.42578125" customWidth="1"/>
    <col min="3593" max="3600" width="9.140625" customWidth="1"/>
    <col min="3838" max="3838" width="6.85546875" customWidth="1"/>
    <col min="3839" max="3839" width="42.42578125" customWidth="1"/>
    <col min="3840" max="3840" width="10.140625" customWidth="1"/>
    <col min="3841" max="3841" width="9.42578125" customWidth="1"/>
    <col min="3842" max="3842" width="20.140625" customWidth="1"/>
    <col min="3843" max="3843" width="16.7109375" customWidth="1"/>
    <col min="3844" max="3844" width="0" hidden="1" customWidth="1"/>
    <col min="3845" max="3845" width="13.140625" bestFit="1" customWidth="1"/>
    <col min="3846" max="3846" width="18.7109375" customWidth="1"/>
    <col min="3847" max="3847" width="9.140625" customWidth="1"/>
    <col min="3848" max="3848" width="9.42578125" customWidth="1"/>
    <col min="3849" max="3856" width="9.140625" customWidth="1"/>
    <col min="4094" max="4094" width="6.85546875" customWidth="1"/>
    <col min="4095" max="4095" width="42.42578125" customWidth="1"/>
    <col min="4096" max="4096" width="10.140625" customWidth="1"/>
    <col min="4097" max="4097" width="9.42578125" customWidth="1"/>
    <col min="4098" max="4098" width="20.140625" customWidth="1"/>
    <col min="4099" max="4099" width="16.7109375" customWidth="1"/>
    <col min="4100" max="4100" width="0" hidden="1" customWidth="1"/>
    <col min="4101" max="4101" width="13.140625" bestFit="1" customWidth="1"/>
    <col min="4102" max="4102" width="18.7109375" customWidth="1"/>
    <col min="4103" max="4103" width="9.140625" customWidth="1"/>
    <col min="4104" max="4104" width="9.42578125" customWidth="1"/>
    <col min="4105" max="4112" width="9.140625" customWidth="1"/>
    <col min="4350" max="4350" width="6.85546875" customWidth="1"/>
    <col min="4351" max="4351" width="42.42578125" customWidth="1"/>
    <col min="4352" max="4352" width="10.140625" customWidth="1"/>
    <col min="4353" max="4353" width="9.42578125" customWidth="1"/>
    <col min="4354" max="4354" width="20.140625" customWidth="1"/>
    <col min="4355" max="4355" width="16.7109375" customWidth="1"/>
    <col min="4356" max="4356" width="0" hidden="1" customWidth="1"/>
    <col min="4357" max="4357" width="13.140625" bestFit="1" customWidth="1"/>
    <col min="4358" max="4358" width="18.7109375" customWidth="1"/>
    <col min="4359" max="4359" width="9.140625" customWidth="1"/>
    <col min="4360" max="4360" width="9.42578125" customWidth="1"/>
    <col min="4361" max="4368" width="9.140625" customWidth="1"/>
    <col min="4606" max="4606" width="6.85546875" customWidth="1"/>
    <col min="4607" max="4607" width="42.42578125" customWidth="1"/>
    <col min="4608" max="4608" width="10.140625" customWidth="1"/>
    <col min="4609" max="4609" width="9.42578125" customWidth="1"/>
    <col min="4610" max="4610" width="20.140625" customWidth="1"/>
    <col min="4611" max="4611" width="16.7109375" customWidth="1"/>
    <col min="4612" max="4612" width="0" hidden="1" customWidth="1"/>
    <col min="4613" max="4613" width="13.140625" bestFit="1" customWidth="1"/>
    <col min="4614" max="4614" width="18.7109375" customWidth="1"/>
    <col min="4615" max="4615" width="9.140625" customWidth="1"/>
    <col min="4616" max="4616" width="9.42578125" customWidth="1"/>
    <col min="4617" max="4624" width="9.140625" customWidth="1"/>
    <col min="4862" max="4862" width="6.85546875" customWidth="1"/>
    <col min="4863" max="4863" width="42.42578125" customWidth="1"/>
    <col min="4864" max="4864" width="10.140625" customWidth="1"/>
    <col min="4865" max="4865" width="9.42578125" customWidth="1"/>
    <col min="4866" max="4866" width="20.140625" customWidth="1"/>
    <col min="4867" max="4867" width="16.7109375" customWidth="1"/>
    <col min="4868" max="4868" width="0" hidden="1" customWidth="1"/>
    <col min="4869" max="4869" width="13.140625" bestFit="1" customWidth="1"/>
    <col min="4870" max="4870" width="18.7109375" customWidth="1"/>
    <col min="4871" max="4871" width="9.140625" customWidth="1"/>
    <col min="4872" max="4872" width="9.42578125" customWidth="1"/>
    <col min="4873" max="4880" width="9.140625" customWidth="1"/>
    <col min="5118" max="5118" width="6.85546875" customWidth="1"/>
    <col min="5119" max="5119" width="42.42578125" customWidth="1"/>
    <col min="5120" max="5120" width="10.140625" customWidth="1"/>
    <col min="5121" max="5121" width="9.42578125" customWidth="1"/>
    <col min="5122" max="5122" width="20.140625" customWidth="1"/>
    <col min="5123" max="5123" width="16.7109375" customWidth="1"/>
    <col min="5124" max="5124" width="0" hidden="1" customWidth="1"/>
    <col min="5125" max="5125" width="13.140625" bestFit="1" customWidth="1"/>
    <col min="5126" max="5126" width="18.7109375" customWidth="1"/>
    <col min="5127" max="5127" width="9.140625" customWidth="1"/>
    <col min="5128" max="5128" width="9.42578125" customWidth="1"/>
    <col min="5129" max="5136" width="9.140625" customWidth="1"/>
    <col min="5374" max="5374" width="6.85546875" customWidth="1"/>
    <col min="5375" max="5375" width="42.42578125" customWidth="1"/>
    <col min="5376" max="5376" width="10.140625" customWidth="1"/>
    <col min="5377" max="5377" width="9.42578125" customWidth="1"/>
    <col min="5378" max="5378" width="20.140625" customWidth="1"/>
    <col min="5379" max="5379" width="16.7109375" customWidth="1"/>
    <col min="5380" max="5380" width="0" hidden="1" customWidth="1"/>
    <col min="5381" max="5381" width="13.140625" bestFit="1" customWidth="1"/>
    <col min="5382" max="5382" width="18.7109375" customWidth="1"/>
    <col min="5383" max="5383" width="9.140625" customWidth="1"/>
    <col min="5384" max="5384" width="9.42578125" customWidth="1"/>
    <col min="5385" max="5392" width="9.140625" customWidth="1"/>
    <col min="5630" max="5630" width="6.85546875" customWidth="1"/>
    <col min="5631" max="5631" width="42.42578125" customWidth="1"/>
    <col min="5632" max="5632" width="10.140625" customWidth="1"/>
    <col min="5633" max="5633" width="9.42578125" customWidth="1"/>
    <col min="5634" max="5634" width="20.140625" customWidth="1"/>
    <col min="5635" max="5635" width="16.7109375" customWidth="1"/>
    <col min="5636" max="5636" width="0" hidden="1" customWidth="1"/>
    <col min="5637" max="5637" width="13.140625" bestFit="1" customWidth="1"/>
    <col min="5638" max="5638" width="18.7109375" customWidth="1"/>
    <col min="5639" max="5639" width="9.140625" customWidth="1"/>
    <col min="5640" max="5640" width="9.42578125" customWidth="1"/>
    <col min="5641" max="5648" width="9.140625" customWidth="1"/>
    <col min="5886" max="5886" width="6.85546875" customWidth="1"/>
    <col min="5887" max="5887" width="42.42578125" customWidth="1"/>
    <col min="5888" max="5888" width="10.140625" customWidth="1"/>
    <col min="5889" max="5889" width="9.42578125" customWidth="1"/>
    <col min="5890" max="5890" width="20.140625" customWidth="1"/>
    <col min="5891" max="5891" width="16.7109375" customWidth="1"/>
    <col min="5892" max="5892" width="0" hidden="1" customWidth="1"/>
    <col min="5893" max="5893" width="13.140625" bestFit="1" customWidth="1"/>
    <col min="5894" max="5894" width="18.7109375" customWidth="1"/>
    <col min="5895" max="5895" width="9.140625" customWidth="1"/>
    <col min="5896" max="5896" width="9.42578125" customWidth="1"/>
    <col min="5897" max="5904" width="9.140625" customWidth="1"/>
    <col min="6142" max="6142" width="6.85546875" customWidth="1"/>
    <col min="6143" max="6143" width="42.42578125" customWidth="1"/>
    <col min="6144" max="6144" width="10.140625" customWidth="1"/>
    <col min="6145" max="6145" width="9.42578125" customWidth="1"/>
    <col min="6146" max="6146" width="20.140625" customWidth="1"/>
    <col min="6147" max="6147" width="16.7109375" customWidth="1"/>
    <col min="6148" max="6148" width="0" hidden="1" customWidth="1"/>
    <col min="6149" max="6149" width="13.140625" bestFit="1" customWidth="1"/>
    <col min="6150" max="6150" width="18.7109375" customWidth="1"/>
    <col min="6151" max="6151" width="9.140625" customWidth="1"/>
    <col min="6152" max="6152" width="9.42578125" customWidth="1"/>
    <col min="6153" max="6160" width="9.140625" customWidth="1"/>
    <col min="6398" max="6398" width="6.85546875" customWidth="1"/>
    <col min="6399" max="6399" width="42.42578125" customWidth="1"/>
    <col min="6400" max="6400" width="10.140625" customWidth="1"/>
    <col min="6401" max="6401" width="9.42578125" customWidth="1"/>
    <col min="6402" max="6402" width="20.140625" customWidth="1"/>
    <col min="6403" max="6403" width="16.7109375" customWidth="1"/>
    <col min="6404" max="6404" width="0" hidden="1" customWidth="1"/>
    <col min="6405" max="6405" width="13.140625" bestFit="1" customWidth="1"/>
    <col min="6406" max="6406" width="18.7109375" customWidth="1"/>
    <col min="6407" max="6407" width="9.140625" customWidth="1"/>
    <col min="6408" max="6408" width="9.42578125" customWidth="1"/>
    <col min="6409" max="6416" width="9.140625" customWidth="1"/>
    <col min="6654" max="6654" width="6.85546875" customWidth="1"/>
    <col min="6655" max="6655" width="42.42578125" customWidth="1"/>
    <col min="6656" max="6656" width="10.140625" customWidth="1"/>
    <col min="6657" max="6657" width="9.42578125" customWidth="1"/>
    <col min="6658" max="6658" width="20.140625" customWidth="1"/>
    <col min="6659" max="6659" width="16.7109375" customWidth="1"/>
    <col min="6660" max="6660" width="0" hidden="1" customWidth="1"/>
    <col min="6661" max="6661" width="13.140625" bestFit="1" customWidth="1"/>
    <col min="6662" max="6662" width="18.7109375" customWidth="1"/>
    <col min="6663" max="6663" width="9.140625" customWidth="1"/>
    <col min="6664" max="6664" width="9.42578125" customWidth="1"/>
    <col min="6665" max="6672" width="9.140625" customWidth="1"/>
    <col min="6910" max="6910" width="6.85546875" customWidth="1"/>
    <col min="6911" max="6911" width="42.42578125" customWidth="1"/>
    <col min="6912" max="6912" width="10.140625" customWidth="1"/>
    <col min="6913" max="6913" width="9.42578125" customWidth="1"/>
    <col min="6914" max="6914" width="20.140625" customWidth="1"/>
    <col min="6915" max="6915" width="16.7109375" customWidth="1"/>
    <col min="6916" max="6916" width="0" hidden="1" customWidth="1"/>
    <col min="6917" max="6917" width="13.140625" bestFit="1" customWidth="1"/>
    <col min="6918" max="6918" width="18.7109375" customWidth="1"/>
    <col min="6919" max="6919" width="9.140625" customWidth="1"/>
    <col min="6920" max="6920" width="9.42578125" customWidth="1"/>
    <col min="6921" max="6928" width="9.140625" customWidth="1"/>
    <col min="7166" max="7166" width="6.85546875" customWidth="1"/>
    <col min="7167" max="7167" width="42.42578125" customWidth="1"/>
    <col min="7168" max="7168" width="10.140625" customWidth="1"/>
    <col min="7169" max="7169" width="9.42578125" customWidth="1"/>
    <col min="7170" max="7170" width="20.140625" customWidth="1"/>
    <col min="7171" max="7171" width="16.7109375" customWidth="1"/>
    <col min="7172" max="7172" width="0" hidden="1" customWidth="1"/>
    <col min="7173" max="7173" width="13.140625" bestFit="1" customWidth="1"/>
    <col min="7174" max="7174" width="18.7109375" customWidth="1"/>
    <col min="7175" max="7175" width="9.140625" customWidth="1"/>
    <col min="7176" max="7176" width="9.42578125" customWidth="1"/>
    <col min="7177" max="7184" width="9.140625" customWidth="1"/>
    <col min="7422" max="7422" width="6.85546875" customWidth="1"/>
    <col min="7423" max="7423" width="42.42578125" customWidth="1"/>
    <col min="7424" max="7424" width="10.140625" customWidth="1"/>
    <col min="7425" max="7425" width="9.42578125" customWidth="1"/>
    <col min="7426" max="7426" width="20.140625" customWidth="1"/>
    <col min="7427" max="7427" width="16.7109375" customWidth="1"/>
    <col min="7428" max="7428" width="0" hidden="1" customWidth="1"/>
    <col min="7429" max="7429" width="13.140625" bestFit="1" customWidth="1"/>
    <col min="7430" max="7430" width="18.7109375" customWidth="1"/>
    <col min="7431" max="7431" width="9.140625" customWidth="1"/>
    <col min="7432" max="7432" width="9.42578125" customWidth="1"/>
    <col min="7433" max="7440" width="9.140625" customWidth="1"/>
    <col min="7678" max="7678" width="6.85546875" customWidth="1"/>
    <col min="7679" max="7679" width="42.42578125" customWidth="1"/>
    <col min="7680" max="7680" width="10.140625" customWidth="1"/>
    <col min="7681" max="7681" width="9.42578125" customWidth="1"/>
    <col min="7682" max="7682" width="20.140625" customWidth="1"/>
    <col min="7683" max="7683" width="16.7109375" customWidth="1"/>
    <col min="7684" max="7684" width="0" hidden="1" customWidth="1"/>
    <col min="7685" max="7685" width="13.140625" bestFit="1" customWidth="1"/>
    <col min="7686" max="7686" width="18.7109375" customWidth="1"/>
    <col min="7687" max="7687" width="9.140625" customWidth="1"/>
    <col min="7688" max="7688" width="9.42578125" customWidth="1"/>
    <col min="7689" max="7696" width="9.140625" customWidth="1"/>
    <col min="7934" max="7934" width="6.85546875" customWidth="1"/>
    <col min="7935" max="7935" width="42.42578125" customWidth="1"/>
    <col min="7936" max="7936" width="10.140625" customWidth="1"/>
    <col min="7937" max="7937" width="9.42578125" customWidth="1"/>
    <col min="7938" max="7938" width="20.140625" customWidth="1"/>
    <col min="7939" max="7939" width="16.7109375" customWidth="1"/>
    <col min="7940" max="7940" width="0" hidden="1" customWidth="1"/>
    <col min="7941" max="7941" width="13.140625" bestFit="1" customWidth="1"/>
    <col min="7942" max="7942" width="18.7109375" customWidth="1"/>
    <col min="7943" max="7943" width="9.140625" customWidth="1"/>
    <col min="7944" max="7944" width="9.42578125" customWidth="1"/>
    <col min="7945" max="7952" width="9.140625" customWidth="1"/>
    <col min="8190" max="8190" width="6.85546875" customWidth="1"/>
    <col min="8191" max="8191" width="42.42578125" customWidth="1"/>
    <col min="8192" max="8192" width="10.140625" customWidth="1"/>
    <col min="8193" max="8193" width="9.42578125" customWidth="1"/>
    <col min="8194" max="8194" width="20.140625" customWidth="1"/>
    <col min="8195" max="8195" width="16.7109375" customWidth="1"/>
    <col min="8196" max="8196" width="0" hidden="1" customWidth="1"/>
    <col min="8197" max="8197" width="13.140625" bestFit="1" customWidth="1"/>
    <col min="8198" max="8198" width="18.7109375" customWidth="1"/>
    <col min="8199" max="8199" width="9.140625" customWidth="1"/>
    <col min="8200" max="8200" width="9.42578125" customWidth="1"/>
    <col min="8201" max="8208" width="9.140625" customWidth="1"/>
    <col min="8446" max="8446" width="6.85546875" customWidth="1"/>
    <col min="8447" max="8447" width="42.42578125" customWidth="1"/>
    <col min="8448" max="8448" width="10.140625" customWidth="1"/>
    <col min="8449" max="8449" width="9.42578125" customWidth="1"/>
    <col min="8450" max="8450" width="20.140625" customWidth="1"/>
    <col min="8451" max="8451" width="16.7109375" customWidth="1"/>
    <col min="8452" max="8452" width="0" hidden="1" customWidth="1"/>
    <col min="8453" max="8453" width="13.140625" bestFit="1" customWidth="1"/>
    <col min="8454" max="8454" width="18.7109375" customWidth="1"/>
    <col min="8455" max="8455" width="9.140625" customWidth="1"/>
    <col min="8456" max="8456" width="9.42578125" customWidth="1"/>
    <col min="8457" max="8464" width="9.140625" customWidth="1"/>
    <col min="8702" max="8702" width="6.85546875" customWidth="1"/>
    <col min="8703" max="8703" width="42.42578125" customWidth="1"/>
    <col min="8704" max="8704" width="10.140625" customWidth="1"/>
    <col min="8705" max="8705" width="9.42578125" customWidth="1"/>
    <col min="8706" max="8706" width="20.140625" customWidth="1"/>
    <col min="8707" max="8707" width="16.7109375" customWidth="1"/>
    <col min="8708" max="8708" width="0" hidden="1" customWidth="1"/>
    <col min="8709" max="8709" width="13.140625" bestFit="1" customWidth="1"/>
    <col min="8710" max="8710" width="18.7109375" customWidth="1"/>
    <col min="8711" max="8711" width="9.140625" customWidth="1"/>
    <col min="8712" max="8712" width="9.42578125" customWidth="1"/>
    <col min="8713" max="8720" width="9.140625" customWidth="1"/>
    <col min="8958" max="8958" width="6.85546875" customWidth="1"/>
    <col min="8959" max="8959" width="42.42578125" customWidth="1"/>
    <col min="8960" max="8960" width="10.140625" customWidth="1"/>
    <col min="8961" max="8961" width="9.42578125" customWidth="1"/>
    <col min="8962" max="8962" width="20.140625" customWidth="1"/>
    <col min="8963" max="8963" width="16.7109375" customWidth="1"/>
    <col min="8964" max="8964" width="0" hidden="1" customWidth="1"/>
    <col min="8965" max="8965" width="13.140625" bestFit="1" customWidth="1"/>
    <col min="8966" max="8966" width="18.7109375" customWidth="1"/>
    <col min="8967" max="8967" width="9.140625" customWidth="1"/>
    <col min="8968" max="8968" width="9.42578125" customWidth="1"/>
    <col min="8969" max="8976" width="9.140625" customWidth="1"/>
    <col min="9214" max="9214" width="6.85546875" customWidth="1"/>
    <col min="9215" max="9215" width="42.42578125" customWidth="1"/>
    <col min="9216" max="9216" width="10.140625" customWidth="1"/>
    <col min="9217" max="9217" width="9.42578125" customWidth="1"/>
    <col min="9218" max="9218" width="20.140625" customWidth="1"/>
    <col min="9219" max="9219" width="16.7109375" customWidth="1"/>
    <col min="9220" max="9220" width="0" hidden="1" customWidth="1"/>
    <col min="9221" max="9221" width="13.140625" bestFit="1" customWidth="1"/>
    <col min="9222" max="9222" width="18.7109375" customWidth="1"/>
    <col min="9223" max="9223" width="9.140625" customWidth="1"/>
    <col min="9224" max="9224" width="9.42578125" customWidth="1"/>
    <col min="9225" max="9232" width="9.140625" customWidth="1"/>
    <col min="9470" max="9470" width="6.85546875" customWidth="1"/>
    <col min="9471" max="9471" width="42.42578125" customWidth="1"/>
    <col min="9472" max="9472" width="10.140625" customWidth="1"/>
    <col min="9473" max="9473" width="9.42578125" customWidth="1"/>
    <col min="9474" max="9474" width="20.140625" customWidth="1"/>
    <col min="9475" max="9475" width="16.7109375" customWidth="1"/>
    <col min="9476" max="9476" width="0" hidden="1" customWidth="1"/>
    <col min="9477" max="9477" width="13.140625" bestFit="1" customWidth="1"/>
    <col min="9478" max="9478" width="18.7109375" customWidth="1"/>
    <col min="9479" max="9479" width="9.140625" customWidth="1"/>
    <col min="9480" max="9480" width="9.42578125" customWidth="1"/>
    <col min="9481" max="9488" width="9.140625" customWidth="1"/>
    <col min="9726" max="9726" width="6.85546875" customWidth="1"/>
    <col min="9727" max="9727" width="42.42578125" customWidth="1"/>
    <col min="9728" max="9728" width="10.140625" customWidth="1"/>
    <col min="9729" max="9729" width="9.42578125" customWidth="1"/>
    <col min="9730" max="9730" width="20.140625" customWidth="1"/>
    <col min="9731" max="9731" width="16.7109375" customWidth="1"/>
    <col min="9732" max="9732" width="0" hidden="1" customWidth="1"/>
    <col min="9733" max="9733" width="13.140625" bestFit="1" customWidth="1"/>
    <col min="9734" max="9734" width="18.7109375" customWidth="1"/>
    <col min="9735" max="9735" width="9.140625" customWidth="1"/>
    <col min="9736" max="9736" width="9.42578125" customWidth="1"/>
    <col min="9737" max="9744" width="9.140625" customWidth="1"/>
    <col min="9982" max="9982" width="6.85546875" customWidth="1"/>
    <col min="9983" max="9983" width="42.42578125" customWidth="1"/>
    <col min="9984" max="9984" width="10.140625" customWidth="1"/>
    <col min="9985" max="9985" width="9.42578125" customWidth="1"/>
    <col min="9986" max="9986" width="20.140625" customWidth="1"/>
    <col min="9987" max="9987" width="16.7109375" customWidth="1"/>
    <col min="9988" max="9988" width="0" hidden="1" customWidth="1"/>
    <col min="9989" max="9989" width="13.140625" bestFit="1" customWidth="1"/>
    <col min="9990" max="9990" width="18.7109375" customWidth="1"/>
    <col min="9991" max="9991" width="9.140625" customWidth="1"/>
    <col min="9992" max="9992" width="9.42578125" customWidth="1"/>
    <col min="9993" max="10000" width="9.140625" customWidth="1"/>
    <col min="10238" max="10238" width="6.85546875" customWidth="1"/>
    <col min="10239" max="10239" width="42.42578125" customWidth="1"/>
    <col min="10240" max="10240" width="10.140625" customWidth="1"/>
    <col min="10241" max="10241" width="9.42578125" customWidth="1"/>
    <col min="10242" max="10242" width="20.140625" customWidth="1"/>
    <col min="10243" max="10243" width="16.7109375" customWidth="1"/>
    <col min="10244" max="10244" width="0" hidden="1" customWidth="1"/>
    <col min="10245" max="10245" width="13.140625" bestFit="1" customWidth="1"/>
    <col min="10246" max="10246" width="18.7109375" customWidth="1"/>
    <col min="10247" max="10247" width="9.140625" customWidth="1"/>
    <col min="10248" max="10248" width="9.42578125" customWidth="1"/>
    <col min="10249" max="10256" width="9.140625" customWidth="1"/>
    <col min="10494" max="10494" width="6.85546875" customWidth="1"/>
    <col min="10495" max="10495" width="42.42578125" customWidth="1"/>
    <col min="10496" max="10496" width="10.140625" customWidth="1"/>
    <col min="10497" max="10497" width="9.42578125" customWidth="1"/>
    <col min="10498" max="10498" width="20.140625" customWidth="1"/>
    <col min="10499" max="10499" width="16.7109375" customWidth="1"/>
    <col min="10500" max="10500" width="0" hidden="1" customWidth="1"/>
    <col min="10501" max="10501" width="13.140625" bestFit="1" customWidth="1"/>
    <col min="10502" max="10502" width="18.7109375" customWidth="1"/>
    <col min="10503" max="10503" width="9.140625" customWidth="1"/>
    <col min="10504" max="10504" width="9.42578125" customWidth="1"/>
    <col min="10505" max="10512" width="9.140625" customWidth="1"/>
    <col min="10750" max="10750" width="6.85546875" customWidth="1"/>
    <col min="10751" max="10751" width="42.42578125" customWidth="1"/>
    <col min="10752" max="10752" width="10.140625" customWidth="1"/>
    <col min="10753" max="10753" width="9.42578125" customWidth="1"/>
    <col min="10754" max="10754" width="20.140625" customWidth="1"/>
    <col min="10755" max="10755" width="16.7109375" customWidth="1"/>
    <col min="10756" max="10756" width="0" hidden="1" customWidth="1"/>
    <col min="10757" max="10757" width="13.140625" bestFit="1" customWidth="1"/>
    <col min="10758" max="10758" width="18.7109375" customWidth="1"/>
    <col min="10759" max="10759" width="9.140625" customWidth="1"/>
    <col min="10760" max="10760" width="9.42578125" customWidth="1"/>
    <col min="10761" max="10768" width="9.140625" customWidth="1"/>
    <col min="11006" max="11006" width="6.85546875" customWidth="1"/>
    <col min="11007" max="11007" width="42.42578125" customWidth="1"/>
    <col min="11008" max="11008" width="10.140625" customWidth="1"/>
    <col min="11009" max="11009" width="9.42578125" customWidth="1"/>
    <col min="11010" max="11010" width="20.140625" customWidth="1"/>
    <col min="11011" max="11011" width="16.7109375" customWidth="1"/>
    <col min="11012" max="11012" width="0" hidden="1" customWidth="1"/>
    <col min="11013" max="11013" width="13.140625" bestFit="1" customWidth="1"/>
    <col min="11014" max="11014" width="18.7109375" customWidth="1"/>
    <col min="11015" max="11015" width="9.140625" customWidth="1"/>
    <col min="11016" max="11016" width="9.42578125" customWidth="1"/>
    <col min="11017" max="11024" width="9.140625" customWidth="1"/>
    <col min="11262" max="11262" width="6.85546875" customWidth="1"/>
    <col min="11263" max="11263" width="42.42578125" customWidth="1"/>
    <col min="11264" max="11264" width="10.140625" customWidth="1"/>
    <col min="11265" max="11265" width="9.42578125" customWidth="1"/>
    <col min="11266" max="11266" width="20.140625" customWidth="1"/>
    <col min="11267" max="11267" width="16.7109375" customWidth="1"/>
    <col min="11268" max="11268" width="0" hidden="1" customWidth="1"/>
    <col min="11269" max="11269" width="13.140625" bestFit="1" customWidth="1"/>
    <col min="11270" max="11270" width="18.7109375" customWidth="1"/>
    <col min="11271" max="11271" width="9.140625" customWidth="1"/>
    <col min="11272" max="11272" width="9.42578125" customWidth="1"/>
    <col min="11273" max="11280" width="9.140625" customWidth="1"/>
    <col min="11518" max="11518" width="6.85546875" customWidth="1"/>
    <col min="11519" max="11519" width="42.42578125" customWidth="1"/>
    <col min="11520" max="11520" width="10.140625" customWidth="1"/>
    <col min="11521" max="11521" width="9.42578125" customWidth="1"/>
    <col min="11522" max="11522" width="20.140625" customWidth="1"/>
    <col min="11523" max="11523" width="16.7109375" customWidth="1"/>
    <col min="11524" max="11524" width="0" hidden="1" customWidth="1"/>
    <col min="11525" max="11525" width="13.140625" bestFit="1" customWidth="1"/>
    <col min="11526" max="11526" width="18.7109375" customWidth="1"/>
    <col min="11527" max="11527" width="9.140625" customWidth="1"/>
    <col min="11528" max="11528" width="9.42578125" customWidth="1"/>
    <col min="11529" max="11536" width="9.140625" customWidth="1"/>
    <col min="11774" max="11774" width="6.85546875" customWidth="1"/>
    <col min="11775" max="11775" width="42.42578125" customWidth="1"/>
    <col min="11776" max="11776" width="10.140625" customWidth="1"/>
    <col min="11777" max="11777" width="9.42578125" customWidth="1"/>
    <col min="11778" max="11778" width="20.140625" customWidth="1"/>
    <col min="11779" max="11779" width="16.7109375" customWidth="1"/>
    <col min="11780" max="11780" width="0" hidden="1" customWidth="1"/>
    <col min="11781" max="11781" width="13.140625" bestFit="1" customWidth="1"/>
    <col min="11782" max="11782" width="18.7109375" customWidth="1"/>
    <col min="11783" max="11783" width="9.140625" customWidth="1"/>
    <col min="11784" max="11784" width="9.42578125" customWidth="1"/>
    <col min="11785" max="11792" width="9.140625" customWidth="1"/>
    <col min="12030" max="12030" width="6.85546875" customWidth="1"/>
    <col min="12031" max="12031" width="42.42578125" customWidth="1"/>
    <col min="12032" max="12032" width="10.140625" customWidth="1"/>
    <col min="12033" max="12033" width="9.42578125" customWidth="1"/>
    <col min="12034" max="12034" width="20.140625" customWidth="1"/>
    <col min="12035" max="12035" width="16.7109375" customWidth="1"/>
    <col min="12036" max="12036" width="0" hidden="1" customWidth="1"/>
    <col min="12037" max="12037" width="13.140625" bestFit="1" customWidth="1"/>
    <col min="12038" max="12038" width="18.7109375" customWidth="1"/>
    <col min="12039" max="12039" width="9.140625" customWidth="1"/>
    <col min="12040" max="12040" width="9.42578125" customWidth="1"/>
    <col min="12041" max="12048" width="9.140625" customWidth="1"/>
    <col min="12286" max="12286" width="6.85546875" customWidth="1"/>
    <col min="12287" max="12287" width="42.42578125" customWidth="1"/>
    <col min="12288" max="12288" width="10.140625" customWidth="1"/>
    <col min="12289" max="12289" width="9.42578125" customWidth="1"/>
    <col min="12290" max="12290" width="20.140625" customWidth="1"/>
    <col min="12291" max="12291" width="16.7109375" customWidth="1"/>
    <col min="12292" max="12292" width="0" hidden="1" customWidth="1"/>
    <col min="12293" max="12293" width="13.140625" bestFit="1" customWidth="1"/>
    <col min="12294" max="12294" width="18.7109375" customWidth="1"/>
    <col min="12295" max="12295" width="9.140625" customWidth="1"/>
    <col min="12296" max="12296" width="9.42578125" customWidth="1"/>
    <col min="12297" max="12304" width="9.140625" customWidth="1"/>
    <col min="12542" max="12542" width="6.85546875" customWidth="1"/>
    <col min="12543" max="12543" width="42.42578125" customWidth="1"/>
    <col min="12544" max="12544" width="10.140625" customWidth="1"/>
    <col min="12545" max="12545" width="9.42578125" customWidth="1"/>
    <col min="12546" max="12546" width="20.140625" customWidth="1"/>
    <col min="12547" max="12547" width="16.7109375" customWidth="1"/>
    <col min="12548" max="12548" width="0" hidden="1" customWidth="1"/>
    <col min="12549" max="12549" width="13.140625" bestFit="1" customWidth="1"/>
    <col min="12550" max="12550" width="18.7109375" customWidth="1"/>
    <col min="12551" max="12551" width="9.140625" customWidth="1"/>
    <col min="12552" max="12552" width="9.42578125" customWidth="1"/>
    <col min="12553" max="12560" width="9.140625" customWidth="1"/>
    <col min="12798" max="12798" width="6.85546875" customWidth="1"/>
    <col min="12799" max="12799" width="42.42578125" customWidth="1"/>
    <col min="12800" max="12800" width="10.140625" customWidth="1"/>
    <col min="12801" max="12801" width="9.42578125" customWidth="1"/>
    <col min="12802" max="12802" width="20.140625" customWidth="1"/>
    <col min="12803" max="12803" width="16.7109375" customWidth="1"/>
    <col min="12804" max="12804" width="0" hidden="1" customWidth="1"/>
    <col min="12805" max="12805" width="13.140625" bestFit="1" customWidth="1"/>
    <col min="12806" max="12806" width="18.7109375" customWidth="1"/>
    <col min="12807" max="12807" width="9.140625" customWidth="1"/>
    <col min="12808" max="12808" width="9.42578125" customWidth="1"/>
    <col min="12809" max="12816" width="9.140625" customWidth="1"/>
    <col min="13054" max="13054" width="6.85546875" customWidth="1"/>
    <col min="13055" max="13055" width="42.42578125" customWidth="1"/>
    <col min="13056" max="13056" width="10.140625" customWidth="1"/>
    <col min="13057" max="13057" width="9.42578125" customWidth="1"/>
    <col min="13058" max="13058" width="20.140625" customWidth="1"/>
    <col min="13059" max="13059" width="16.7109375" customWidth="1"/>
    <col min="13060" max="13060" width="0" hidden="1" customWidth="1"/>
    <col min="13061" max="13061" width="13.140625" bestFit="1" customWidth="1"/>
    <col min="13062" max="13062" width="18.7109375" customWidth="1"/>
    <col min="13063" max="13063" width="9.140625" customWidth="1"/>
    <col min="13064" max="13064" width="9.42578125" customWidth="1"/>
    <col min="13065" max="13072" width="9.140625" customWidth="1"/>
    <col min="13310" max="13310" width="6.85546875" customWidth="1"/>
    <col min="13311" max="13311" width="42.42578125" customWidth="1"/>
    <col min="13312" max="13312" width="10.140625" customWidth="1"/>
    <col min="13313" max="13313" width="9.42578125" customWidth="1"/>
    <col min="13314" max="13314" width="20.140625" customWidth="1"/>
    <col min="13315" max="13315" width="16.7109375" customWidth="1"/>
    <col min="13316" max="13316" width="0" hidden="1" customWidth="1"/>
    <col min="13317" max="13317" width="13.140625" bestFit="1" customWidth="1"/>
    <col min="13318" max="13318" width="18.7109375" customWidth="1"/>
    <col min="13319" max="13319" width="9.140625" customWidth="1"/>
    <col min="13320" max="13320" width="9.42578125" customWidth="1"/>
    <col min="13321" max="13328" width="9.140625" customWidth="1"/>
    <col min="13566" max="13566" width="6.85546875" customWidth="1"/>
    <col min="13567" max="13567" width="42.42578125" customWidth="1"/>
    <col min="13568" max="13568" width="10.140625" customWidth="1"/>
    <col min="13569" max="13569" width="9.42578125" customWidth="1"/>
    <col min="13570" max="13570" width="20.140625" customWidth="1"/>
    <col min="13571" max="13571" width="16.7109375" customWidth="1"/>
    <col min="13572" max="13572" width="0" hidden="1" customWidth="1"/>
    <col min="13573" max="13573" width="13.140625" bestFit="1" customWidth="1"/>
    <col min="13574" max="13574" width="18.7109375" customWidth="1"/>
    <col min="13575" max="13575" width="9.140625" customWidth="1"/>
    <col min="13576" max="13576" width="9.42578125" customWidth="1"/>
    <col min="13577" max="13584" width="9.140625" customWidth="1"/>
    <col min="13822" max="13822" width="6.85546875" customWidth="1"/>
    <col min="13823" max="13823" width="42.42578125" customWidth="1"/>
    <col min="13824" max="13824" width="10.140625" customWidth="1"/>
    <col min="13825" max="13825" width="9.42578125" customWidth="1"/>
    <col min="13826" max="13826" width="20.140625" customWidth="1"/>
    <col min="13827" max="13827" width="16.7109375" customWidth="1"/>
    <col min="13828" max="13828" width="0" hidden="1" customWidth="1"/>
    <col min="13829" max="13829" width="13.140625" bestFit="1" customWidth="1"/>
    <col min="13830" max="13830" width="18.7109375" customWidth="1"/>
    <col min="13831" max="13831" width="9.140625" customWidth="1"/>
    <col min="13832" max="13832" width="9.42578125" customWidth="1"/>
    <col min="13833" max="13840" width="9.140625" customWidth="1"/>
    <col min="14078" max="14078" width="6.85546875" customWidth="1"/>
    <col min="14079" max="14079" width="42.42578125" customWidth="1"/>
    <col min="14080" max="14080" width="10.140625" customWidth="1"/>
    <col min="14081" max="14081" width="9.42578125" customWidth="1"/>
    <col min="14082" max="14082" width="20.140625" customWidth="1"/>
    <col min="14083" max="14083" width="16.7109375" customWidth="1"/>
    <col min="14084" max="14084" width="0" hidden="1" customWidth="1"/>
    <col min="14085" max="14085" width="13.140625" bestFit="1" customWidth="1"/>
    <col min="14086" max="14086" width="18.7109375" customWidth="1"/>
    <col min="14087" max="14087" width="9.140625" customWidth="1"/>
    <col min="14088" max="14088" width="9.42578125" customWidth="1"/>
    <col min="14089" max="14096" width="9.140625" customWidth="1"/>
    <col min="14334" max="14334" width="6.85546875" customWidth="1"/>
    <col min="14335" max="14335" width="42.42578125" customWidth="1"/>
    <col min="14336" max="14336" width="10.140625" customWidth="1"/>
    <col min="14337" max="14337" width="9.42578125" customWidth="1"/>
    <col min="14338" max="14338" width="20.140625" customWidth="1"/>
    <col min="14339" max="14339" width="16.7109375" customWidth="1"/>
    <col min="14340" max="14340" width="0" hidden="1" customWidth="1"/>
    <col min="14341" max="14341" width="13.140625" bestFit="1" customWidth="1"/>
    <col min="14342" max="14342" width="18.7109375" customWidth="1"/>
    <col min="14343" max="14343" width="9.140625" customWidth="1"/>
    <col min="14344" max="14344" width="9.42578125" customWidth="1"/>
    <col min="14345" max="14352" width="9.140625" customWidth="1"/>
    <col min="14590" max="14590" width="6.85546875" customWidth="1"/>
    <col min="14591" max="14591" width="42.42578125" customWidth="1"/>
    <col min="14592" max="14592" width="10.140625" customWidth="1"/>
    <col min="14593" max="14593" width="9.42578125" customWidth="1"/>
    <col min="14594" max="14594" width="20.140625" customWidth="1"/>
    <col min="14595" max="14595" width="16.7109375" customWidth="1"/>
    <col min="14596" max="14596" width="0" hidden="1" customWidth="1"/>
    <col min="14597" max="14597" width="13.140625" bestFit="1" customWidth="1"/>
    <col min="14598" max="14598" width="18.7109375" customWidth="1"/>
    <col min="14599" max="14599" width="9.140625" customWidth="1"/>
    <col min="14600" max="14600" width="9.42578125" customWidth="1"/>
    <col min="14601" max="14608" width="9.140625" customWidth="1"/>
    <col min="14846" max="14846" width="6.85546875" customWidth="1"/>
    <col min="14847" max="14847" width="42.42578125" customWidth="1"/>
    <col min="14848" max="14848" width="10.140625" customWidth="1"/>
    <col min="14849" max="14849" width="9.42578125" customWidth="1"/>
    <col min="14850" max="14850" width="20.140625" customWidth="1"/>
    <col min="14851" max="14851" width="16.7109375" customWidth="1"/>
    <col min="14852" max="14852" width="0" hidden="1" customWidth="1"/>
    <col min="14853" max="14853" width="13.140625" bestFit="1" customWidth="1"/>
    <col min="14854" max="14854" width="18.7109375" customWidth="1"/>
    <col min="14855" max="14855" width="9.140625" customWidth="1"/>
    <col min="14856" max="14856" width="9.42578125" customWidth="1"/>
    <col min="14857" max="14864" width="9.140625" customWidth="1"/>
    <col min="15102" max="15102" width="6.85546875" customWidth="1"/>
    <col min="15103" max="15103" width="42.42578125" customWidth="1"/>
    <col min="15104" max="15104" width="10.140625" customWidth="1"/>
    <col min="15105" max="15105" width="9.42578125" customWidth="1"/>
    <col min="15106" max="15106" width="20.140625" customWidth="1"/>
    <col min="15107" max="15107" width="16.7109375" customWidth="1"/>
    <col min="15108" max="15108" width="0" hidden="1" customWidth="1"/>
    <col min="15109" max="15109" width="13.140625" bestFit="1" customWidth="1"/>
    <col min="15110" max="15110" width="18.7109375" customWidth="1"/>
    <col min="15111" max="15111" width="9.140625" customWidth="1"/>
    <col min="15112" max="15112" width="9.42578125" customWidth="1"/>
    <col min="15113" max="15120" width="9.140625" customWidth="1"/>
    <col min="15358" max="15358" width="6.85546875" customWidth="1"/>
    <col min="15359" max="15359" width="42.42578125" customWidth="1"/>
    <col min="15360" max="15360" width="10.140625" customWidth="1"/>
    <col min="15361" max="15361" width="9.42578125" customWidth="1"/>
    <col min="15362" max="15362" width="20.140625" customWidth="1"/>
    <col min="15363" max="15363" width="16.7109375" customWidth="1"/>
    <col min="15364" max="15364" width="0" hidden="1" customWidth="1"/>
    <col min="15365" max="15365" width="13.140625" bestFit="1" customWidth="1"/>
    <col min="15366" max="15366" width="18.7109375" customWidth="1"/>
    <col min="15367" max="15367" width="9.140625" customWidth="1"/>
    <col min="15368" max="15368" width="9.42578125" customWidth="1"/>
    <col min="15369" max="15376" width="9.140625" customWidth="1"/>
    <col min="15614" max="15614" width="6.85546875" customWidth="1"/>
    <col min="15615" max="15615" width="42.42578125" customWidth="1"/>
    <col min="15616" max="15616" width="10.140625" customWidth="1"/>
    <col min="15617" max="15617" width="9.42578125" customWidth="1"/>
    <col min="15618" max="15618" width="20.140625" customWidth="1"/>
    <col min="15619" max="15619" width="16.7109375" customWidth="1"/>
    <col min="15620" max="15620" width="0" hidden="1" customWidth="1"/>
    <col min="15621" max="15621" width="13.140625" bestFit="1" customWidth="1"/>
    <col min="15622" max="15622" width="18.7109375" customWidth="1"/>
    <col min="15623" max="15623" width="9.140625" customWidth="1"/>
    <col min="15624" max="15624" width="9.42578125" customWidth="1"/>
    <col min="15625" max="15632" width="9.140625" customWidth="1"/>
    <col min="15870" max="15870" width="6.85546875" customWidth="1"/>
    <col min="15871" max="15871" width="42.42578125" customWidth="1"/>
    <col min="15872" max="15872" width="10.140625" customWidth="1"/>
    <col min="15873" max="15873" width="9.42578125" customWidth="1"/>
    <col min="15874" max="15874" width="20.140625" customWidth="1"/>
    <col min="15875" max="15875" width="16.7109375" customWidth="1"/>
    <col min="15876" max="15876" width="0" hidden="1" customWidth="1"/>
    <col min="15877" max="15877" width="13.140625" bestFit="1" customWidth="1"/>
    <col min="15878" max="15878" width="18.7109375" customWidth="1"/>
    <col min="15879" max="15879" width="9.140625" customWidth="1"/>
    <col min="15880" max="15880" width="9.42578125" customWidth="1"/>
    <col min="15881" max="15888" width="9.140625" customWidth="1"/>
    <col min="16126" max="16126" width="6.85546875" customWidth="1"/>
    <col min="16127" max="16127" width="42.42578125" customWidth="1"/>
    <col min="16128" max="16128" width="10.140625" customWidth="1"/>
    <col min="16129" max="16129" width="9.42578125" customWidth="1"/>
    <col min="16130" max="16130" width="20.140625" customWidth="1"/>
    <col min="16131" max="16131" width="16.7109375" customWidth="1"/>
    <col min="16132" max="16132" width="0" hidden="1" customWidth="1"/>
    <col min="16133" max="16133" width="13.140625" bestFit="1" customWidth="1"/>
    <col min="16134" max="16134" width="18.7109375" customWidth="1"/>
    <col min="16135" max="16135" width="9.140625" customWidth="1"/>
    <col min="16136" max="16136" width="9.42578125" customWidth="1"/>
    <col min="16137" max="16144" width="9.140625" customWidth="1"/>
  </cols>
  <sheetData>
    <row r="1" spans="1:253" x14ac:dyDescent="0.25">
      <c r="A1" s="534"/>
      <c r="B1" s="535"/>
      <c r="C1" s="535"/>
      <c r="D1" s="535"/>
      <c r="E1" s="535"/>
      <c r="F1" s="536" t="s">
        <v>374</v>
      </c>
      <c r="G1" s="536"/>
      <c r="H1" s="536"/>
      <c r="I1" s="537"/>
      <c r="J1" s="538"/>
      <c r="K1" s="246"/>
      <c r="L1" s="539"/>
      <c r="M1" s="540"/>
      <c r="O1" s="246"/>
      <c r="P1" s="246"/>
      <c r="Q1" s="538"/>
    </row>
    <row r="2" spans="1:253" x14ac:dyDescent="0.25">
      <c r="A2" s="542"/>
      <c r="B2" s="543"/>
      <c r="C2" s="543"/>
      <c r="D2" s="543"/>
      <c r="E2" s="544" t="s">
        <v>1</v>
      </c>
      <c r="F2" s="544"/>
      <c r="G2" s="544"/>
      <c r="H2" s="544"/>
      <c r="I2" s="543"/>
      <c r="J2" s="543"/>
      <c r="K2" s="543"/>
      <c r="L2" s="543"/>
      <c r="M2" s="543"/>
      <c r="N2" s="543"/>
      <c r="O2" s="543"/>
      <c r="P2" s="543"/>
      <c r="Q2" s="543"/>
      <c r="R2" s="545"/>
      <c r="S2" s="545"/>
      <c r="T2" s="545"/>
      <c r="U2" s="545"/>
      <c r="V2" s="545"/>
      <c r="W2" s="545"/>
      <c r="X2" s="545"/>
      <c r="Y2" s="545"/>
      <c r="Z2" s="545"/>
      <c r="AA2" s="545"/>
      <c r="AB2" s="545"/>
      <c r="AC2" s="545"/>
      <c r="AD2" s="545"/>
      <c r="AE2" s="545"/>
      <c r="AF2" s="545"/>
      <c r="AG2" s="545"/>
      <c r="AH2" s="545"/>
      <c r="AI2" s="545"/>
      <c r="AJ2" s="545"/>
      <c r="AK2" s="545"/>
      <c r="AL2" s="545"/>
      <c r="AM2" s="545"/>
      <c r="AN2" s="545"/>
      <c r="AO2" s="545"/>
      <c r="AP2" s="545"/>
      <c r="AQ2" s="545"/>
      <c r="AR2" s="545"/>
      <c r="AS2" s="545"/>
      <c r="AT2" s="545"/>
      <c r="AU2" s="545"/>
      <c r="AV2" s="545"/>
      <c r="AW2" s="545"/>
      <c r="AX2" s="545"/>
      <c r="AY2" s="545"/>
      <c r="AZ2" s="545"/>
      <c r="BA2" s="545"/>
      <c r="BB2" s="545"/>
      <c r="BC2" s="545"/>
      <c r="BD2" s="545"/>
      <c r="BE2" s="545"/>
      <c r="BF2" s="545"/>
      <c r="BG2" s="545"/>
      <c r="BH2" s="545"/>
      <c r="BI2" s="545"/>
      <c r="BJ2" s="545"/>
      <c r="BK2" s="545"/>
      <c r="BL2" s="545"/>
      <c r="BM2" s="545"/>
      <c r="BN2" s="545"/>
      <c r="BO2" s="545"/>
      <c r="BP2" s="545"/>
      <c r="BQ2" s="545"/>
      <c r="BR2" s="545"/>
      <c r="BS2" s="545"/>
      <c r="BT2" s="545"/>
      <c r="BU2" s="545"/>
      <c r="BV2" s="545"/>
      <c r="BW2" s="545"/>
      <c r="BX2" s="545"/>
      <c r="BY2" s="545"/>
      <c r="BZ2" s="545"/>
      <c r="CA2" s="545"/>
      <c r="CB2" s="545"/>
      <c r="CC2" s="545"/>
      <c r="CD2" s="545"/>
      <c r="CE2" s="545"/>
      <c r="CF2" s="545"/>
      <c r="CG2" s="545"/>
      <c r="CH2" s="545"/>
      <c r="CI2" s="545"/>
      <c r="CJ2" s="545"/>
      <c r="CK2" s="545"/>
      <c r="CL2" s="545"/>
      <c r="CM2" s="545"/>
      <c r="CN2" s="545"/>
      <c r="CO2" s="545"/>
      <c r="CP2" s="545"/>
      <c r="CQ2" s="545"/>
      <c r="CR2" s="545"/>
      <c r="CS2" s="545"/>
      <c r="CT2" s="545"/>
      <c r="CU2" s="545"/>
      <c r="CV2" s="545"/>
      <c r="CW2" s="545"/>
      <c r="CX2" s="545"/>
      <c r="CY2" s="545"/>
      <c r="CZ2" s="545"/>
      <c r="DA2" s="545"/>
      <c r="DB2" s="545"/>
      <c r="DC2" s="545"/>
      <c r="DD2" s="545"/>
      <c r="DE2" s="545"/>
      <c r="DF2" s="545"/>
      <c r="DG2" s="545"/>
      <c r="DH2" s="545"/>
      <c r="DI2" s="545"/>
      <c r="DJ2" s="545"/>
      <c r="DK2" s="545"/>
      <c r="DL2" s="545"/>
      <c r="DM2" s="545"/>
      <c r="DN2" s="545"/>
      <c r="DO2" s="545"/>
      <c r="DP2" s="545"/>
      <c r="DQ2" s="545"/>
      <c r="DR2" s="545"/>
      <c r="DS2" s="545"/>
      <c r="DT2" s="545"/>
      <c r="DU2" s="545"/>
      <c r="DV2" s="545"/>
      <c r="DW2" s="545"/>
      <c r="DX2" s="545"/>
      <c r="DY2" s="545"/>
      <c r="DZ2" s="545"/>
      <c r="EA2" s="545"/>
      <c r="EB2" s="545"/>
      <c r="EC2" s="545"/>
      <c r="ED2" s="545"/>
      <c r="EE2" s="545"/>
      <c r="EF2" s="545"/>
      <c r="EG2" s="545"/>
      <c r="EH2" s="545"/>
      <c r="EI2" s="545"/>
      <c r="EJ2" s="545"/>
      <c r="EK2" s="545"/>
      <c r="EL2" s="545"/>
      <c r="EM2" s="545"/>
      <c r="EN2" s="545"/>
      <c r="EO2" s="545"/>
      <c r="EP2" s="545"/>
      <c r="EQ2" s="545"/>
      <c r="ER2" s="545"/>
      <c r="ES2" s="545"/>
      <c r="ET2" s="545"/>
      <c r="EU2" s="545"/>
      <c r="EV2" s="545"/>
      <c r="EW2" s="545"/>
      <c r="EX2" s="545"/>
      <c r="EY2" s="545"/>
      <c r="EZ2" s="545"/>
      <c r="FA2" s="545"/>
      <c r="FB2" s="545"/>
      <c r="FC2" s="545"/>
      <c r="FD2" s="545"/>
      <c r="FE2" s="545"/>
      <c r="FF2" s="545"/>
      <c r="FG2" s="545"/>
      <c r="FH2" s="545"/>
      <c r="FI2" s="545"/>
      <c r="FJ2" s="545"/>
      <c r="FK2" s="545"/>
      <c r="FL2" s="545"/>
      <c r="FM2" s="545"/>
      <c r="FN2" s="545"/>
      <c r="FO2" s="545"/>
      <c r="FP2" s="545"/>
      <c r="FQ2" s="545"/>
      <c r="FR2" s="545"/>
      <c r="FS2" s="545"/>
      <c r="FT2" s="545"/>
      <c r="FU2" s="545"/>
      <c r="FV2" s="545"/>
      <c r="FW2" s="545"/>
      <c r="FX2" s="545"/>
      <c r="FY2" s="545"/>
      <c r="FZ2" s="545"/>
      <c r="GA2" s="545"/>
      <c r="GB2" s="545"/>
      <c r="GC2" s="545"/>
      <c r="GD2" s="545"/>
      <c r="GE2" s="545"/>
      <c r="GF2" s="545"/>
      <c r="GG2" s="545"/>
      <c r="GH2" s="545"/>
      <c r="GI2" s="545"/>
      <c r="GJ2" s="545"/>
      <c r="GK2" s="545"/>
      <c r="GL2" s="545"/>
      <c r="GM2" s="545"/>
      <c r="GN2" s="545"/>
      <c r="GO2" s="545"/>
      <c r="GP2" s="545"/>
      <c r="GQ2" s="545"/>
      <c r="GR2" s="545"/>
      <c r="GS2" s="545"/>
      <c r="GT2" s="545"/>
      <c r="GU2" s="545"/>
      <c r="GV2" s="545"/>
      <c r="GW2" s="545"/>
      <c r="GX2" s="545"/>
      <c r="GY2" s="545"/>
      <c r="GZ2" s="545"/>
      <c r="HA2" s="545"/>
      <c r="HB2" s="545"/>
      <c r="HC2" s="545"/>
      <c r="HD2" s="545"/>
      <c r="HE2" s="545"/>
      <c r="HF2" s="545"/>
      <c r="HG2" s="545"/>
      <c r="HH2" s="545"/>
      <c r="HI2" s="545"/>
      <c r="HJ2" s="545"/>
      <c r="HK2" s="545"/>
      <c r="HL2" s="545"/>
      <c r="HM2" s="545"/>
      <c r="HN2" s="545"/>
      <c r="HO2" s="545"/>
      <c r="HP2" s="545"/>
      <c r="HQ2" s="545"/>
      <c r="HR2" s="545"/>
      <c r="HS2" s="545"/>
      <c r="HT2" s="545"/>
      <c r="HU2" s="545"/>
      <c r="HV2" s="545"/>
      <c r="HW2" s="545"/>
      <c r="HX2" s="545"/>
      <c r="HY2" s="545"/>
      <c r="HZ2" s="545"/>
      <c r="IA2" s="545"/>
      <c r="IB2" s="545"/>
      <c r="IC2" s="545"/>
      <c r="ID2" s="545"/>
      <c r="IE2" s="545"/>
      <c r="IF2" s="545"/>
      <c r="IG2" s="545"/>
      <c r="IH2" s="545"/>
      <c r="II2" s="545"/>
      <c r="IJ2" s="545"/>
      <c r="IK2" s="545"/>
      <c r="IL2" s="545"/>
      <c r="IM2" s="545"/>
      <c r="IN2" s="545"/>
      <c r="IO2" s="545"/>
      <c r="IP2" s="545"/>
      <c r="IQ2" s="545"/>
      <c r="IR2" s="545"/>
      <c r="IS2" s="545"/>
    </row>
    <row r="3" spans="1:253" x14ac:dyDescent="0.25">
      <c r="A3" s="769"/>
      <c r="B3" s="769"/>
      <c r="C3" s="546"/>
      <c r="D3" s="546"/>
      <c r="E3" s="770"/>
      <c r="F3" s="770"/>
      <c r="G3" s="770"/>
      <c r="H3" s="770"/>
      <c r="I3" s="543"/>
      <c r="J3" s="543"/>
      <c r="K3" s="543"/>
      <c r="L3" s="543"/>
      <c r="M3" s="543"/>
      <c r="N3" s="543"/>
      <c r="O3" s="543"/>
      <c r="P3" s="543"/>
      <c r="Q3" s="543"/>
      <c r="R3" s="545"/>
      <c r="S3" s="545"/>
      <c r="T3" s="545"/>
      <c r="U3" s="545"/>
      <c r="V3" s="545"/>
      <c r="W3" s="545"/>
      <c r="X3" s="545"/>
      <c r="Y3" s="545"/>
      <c r="Z3" s="545"/>
      <c r="AA3" s="545"/>
      <c r="AB3" s="545"/>
      <c r="AC3" s="545"/>
      <c r="AD3" s="545"/>
      <c r="AE3" s="545"/>
      <c r="AF3" s="545"/>
      <c r="AG3" s="545"/>
      <c r="AH3" s="545"/>
      <c r="AI3" s="545"/>
      <c r="AJ3" s="545"/>
      <c r="AK3" s="545"/>
      <c r="AL3" s="545"/>
      <c r="AM3" s="545"/>
      <c r="AN3" s="545"/>
      <c r="AO3" s="545"/>
      <c r="AP3" s="545"/>
      <c r="AQ3" s="545"/>
      <c r="AR3" s="545"/>
      <c r="AS3" s="545"/>
      <c r="AT3" s="545"/>
      <c r="AU3" s="545"/>
      <c r="AV3" s="545"/>
      <c r="AW3" s="545"/>
      <c r="AX3" s="545"/>
      <c r="AY3" s="545"/>
      <c r="AZ3" s="545"/>
      <c r="BA3" s="545"/>
      <c r="BB3" s="545"/>
      <c r="BC3" s="545"/>
      <c r="BD3" s="545"/>
      <c r="BE3" s="545"/>
      <c r="BF3" s="545"/>
      <c r="BG3" s="545"/>
      <c r="BH3" s="545"/>
      <c r="BI3" s="545"/>
      <c r="BJ3" s="545"/>
      <c r="BK3" s="545"/>
      <c r="BL3" s="545"/>
      <c r="BM3" s="545"/>
      <c r="BN3" s="545"/>
      <c r="BO3" s="545"/>
      <c r="BP3" s="545"/>
      <c r="BQ3" s="545"/>
      <c r="BR3" s="545"/>
      <c r="BS3" s="545"/>
      <c r="BT3" s="545"/>
      <c r="BU3" s="545"/>
      <c r="BV3" s="545"/>
      <c r="BW3" s="545"/>
      <c r="BX3" s="545"/>
      <c r="BY3" s="545"/>
      <c r="BZ3" s="545"/>
      <c r="CA3" s="545"/>
      <c r="CB3" s="545"/>
      <c r="CC3" s="545"/>
      <c r="CD3" s="545"/>
      <c r="CE3" s="545"/>
      <c r="CF3" s="545"/>
      <c r="CG3" s="545"/>
      <c r="CH3" s="545"/>
      <c r="CI3" s="545"/>
      <c r="CJ3" s="545"/>
      <c r="CK3" s="545"/>
      <c r="CL3" s="545"/>
      <c r="CM3" s="545"/>
      <c r="CN3" s="545"/>
      <c r="CO3" s="545"/>
      <c r="CP3" s="545"/>
      <c r="CQ3" s="545"/>
      <c r="CR3" s="545"/>
      <c r="CS3" s="545"/>
      <c r="CT3" s="545"/>
      <c r="CU3" s="545"/>
      <c r="CV3" s="545"/>
      <c r="CW3" s="545"/>
      <c r="CX3" s="545"/>
      <c r="CY3" s="545"/>
      <c r="CZ3" s="545"/>
      <c r="DA3" s="545"/>
      <c r="DB3" s="545"/>
      <c r="DC3" s="545"/>
      <c r="DD3" s="545"/>
      <c r="DE3" s="545"/>
      <c r="DF3" s="545"/>
      <c r="DG3" s="545"/>
      <c r="DH3" s="545"/>
      <c r="DI3" s="545"/>
      <c r="DJ3" s="545"/>
      <c r="DK3" s="545"/>
      <c r="DL3" s="545"/>
      <c r="DM3" s="545"/>
      <c r="DN3" s="545"/>
      <c r="DO3" s="545"/>
      <c r="DP3" s="545"/>
      <c r="DQ3" s="545"/>
      <c r="DR3" s="545"/>
      <c r="DS3" s="545"/>
      <c r="DT3" s="545"/>
      <c r="DU3" s="545"/>
      <c r="DV3" s="545"/>
      <c r="DW3" s="545"/>
      <c r="DX3" s="545"/>
      <c r="DY3" s="545"/>
      <c r="DZ3" s="545"/>
      <c r="EA3" s="545"/>
      <c r="EB3" s="545"/>
      <c r="EC3" s="545"/>
      <c r="ED3" s="545"/>
      <c r="EE3" s="545"/>
      <c r="EF3" s="545"/>
      <c r="EG3" s="545"/>
      <c r="EH3" s="545"/>
      <c r="EI3" s="545"/>
      <c r="EJ3" s="545"/>
      <c r="EK3" s="545"/>
      <c r="EL3" s="545"/>
      <c r="EM3" s="545"/>
      <c r="EN3" s="545"/>
      <c r="EO3" s="545"/>
      <c r="EP3" s="545"/>
      <c r="EQ3" s="545"/>
      <c r="ER3" s="545"/>
      <c r="ES3" s="545"/>
      <c r="ET3" s="545"/>
      <c r="EU3" s="545"/>
      <c r="EV3" s="545"/>
      <c r="EW3" s="545"/>
      <c r="EX3" s="545"/>
      <c r="EY3" s="545"/>
      <c r="EZ3" s="545"/>
      <c r="FA3" s="545"/>
      <c r="FB3" s="545"/>
      <c r="FC3" s="545"/>
      <c r="FD3" s="545"/>
      <c r="FE3" s="545"/>
      <c r="FF3" s="545"/>
      <c r="FG3" s="545"/>
      <c r="FH3" s="545"/>
      <c r="FI3" s="545"/>
      <c r="FJ3" s="545"/>
      <c r="FK3" s="545"/>
      <c r="FL3" s="545"/>
      <c r="FM3" s="545"/>
      <c r="FN3" s="545"/>
      <c r="FO3" s="545"/>
      <c r="FP3" s="545"/>
      <c r="FQ3" s="545"/>
      <c r="FR3" s="545"/>
      <c r="FS3" s="545"/>
      <c r="FT3" s="545"/>
      <c r="FU3" s="545"/>
      <c r="FV3" s="545"/>
      <c r="FW3" s="545"/>
      <c r="FX3" s="545"/>
      <c r="FY3" s="545"/>
      <c r="FZ3" s="545"/>
      <c r="GA3" s="545"/>
      <c r="GB3" s="545"/>
      <c r="GC3" s="545"/>
      <c r="GD3" s="545"/>
      <c r="GE3" s="545"/>
      <c r="GF3" s="545"/>
      <c r="GG3" s="545"/>
      <c r="GH3" s="545"/>
      <c r="GI3" s="545"/>
      <c r="GJ3" s="545"/>
      <c r="GK3" s="545"/>
      <c r="GL3" s="545"/>
      <c r="GM3" s="545"/>
      <c r="GN3" s="545"/>
      <c r="GO3" s="545"/>
      <c r="GP3" s="545"/>
      <c r="GQ3" s="545"/>
      <c r="GR3" s="545"/>
      <c r="GS3" s="545"/>
      <c r="GT3" s="545"/>
      <c r="GU3" s="545"/>
      <c r="GV3" s="545"/>
      <c r="GW3" s="545"/>
      <c r="GX3" s="545"/>
      <c r="GY3" s="545"/>
      <c r="GZ3" s="545"/>
      <c r="HA3" s="545"/>
      <c r="HB3" s="545"/>
      <c r="HC3" s="545"/>
      <c r="HD3" s="545"/>
      <c r="HE3" s="545"/>
      <c r="HF3" s="545"/>
      <c r="HG3" s="545"/>
      <c r="HH3" s="545"/>
      <c r="HI3" s="545"/>
      <c r="HJ3" s="545"/>
      <c r="HK3" s="545"/>
      <c r="HL3" s="545"/>
      <c r="HM3" s="545"/>
      <c r="HN3" s="545"/>
      <c r="HO3" s="545"/>
      <c r="HP3" s="545"/>
      <c r="HQ3" s="545"/>
      <c r="HR3" s="545"/>
      <c r="HS3" s="545"/>
      <c r="HT3" s="545"/>
      <c r="HU3" s="545"/>
      <c r="HV3" s="545"/>
      <c r="HW3" s="545"/>
      <c r="HX3" s="545"/>
      <c r="HY3" s="545"/>
      <c r="HZ3" s="545"/>
      <c r="IA3" s="545"/>
      <c r="IB3" s="545"/>
      <c r="IC3" s="545"/>
      <c r="ID3" s="545"/>
      <c r="IE3" s="545"/>
      <c r="IF3" s="545"/>
      <c r="IG3" s="545"/>
      <c r="IH3" s="545"/>
      <c r="II3" s="545"/>
      <c r="IJ3" s="545"/>
      <c r="IK3" s="545"/>
      <c r="IL3" s="545"/>
      <c r="IM3" s="545"/>
      <c r="IN3" s="545"/>
      <c r="IO3" s="545"/>
      <c r="IP3" s="545"/>
      <c r="IQ3" s="545"/>
      <c r="IR3" s="545"/>
      <c r="IS3" s="545"/>
    </row>
    <row r="4" spans="1:253" x14ac:dyDescent="0.25">
      <c r="A4" s="769"/>
      <c r="B4" s="769"/>
      <c r="C4" s="546"/>
      <c r="D4" s="546"/>
      <c r="E4" s="770"/>
      <c r="F4" s="770"/>
      <c r="G4" s="770"/>
      <c r="H4" s="770"/>
      <c r="I4" s="543"/>
      <c r="J4" s="543"/>
      <c r="K4" s="543"/>
      <c r="L4" s="543"/>
      <c r="M4" s="543"/>
      <c r="N4" s="543"/>
      <c r="O4" s="543"/>
      <c r="P4" s="543"/>
      <c r="Q4" s="543"/>
      <c r="R4" s="545"/>
      <c r="S4" s="545"/>
      <c r="T4" s="545"/>
      <c r="U4" s="545"/>
      <c r="V4" s="545"/>
      <c r="W4" s="545"/>
      <c r="X4" s="545"/>
      <c r="Y4" s="545"/>
      <c r="Z4" s="545"/>
      <c r="AA4" s="545"/>
      <c r="AB4" s="545"/>
      <c r="AC4" s="545"/>
      <c r="AD4" s="545"/>
      <c r="AE4" s="545"/>
      <c r="AF4" s="545"/>
      <c r="AG4" s="545"/>
      <c r="AH4" s="545"/>
      <c r="AI4" s="545"/>
      <c r="AJ4" s="545"/>
      <c r="AK4" s="545"/>
      <c r="AL4" s="545"/>
      <c r="AM4" s="545"/>
      <c r="AN4" s="545"/>
      <c r="AO4" s="545"/>
      <c r="AP4" s="545"/>
      <c r="AQ4" s="545"/>
      <c r="AR4" s="545"/>
      <c r="AS4" s="545"/>
      <c r="AT4" s="545"/>
      <c r="AU4" s="545"/>
      <c r="AV4" s="545"/>
      <c r="AW4" s="545"/>
      <c r="AX4" s="545"/>
      <c r="AY4" s="545"/>
      <c r="AZ4" s="545"/>
      <c r="BA4" s="545"/>
      <c r="BB4" s="545"/>
      <c r="BC4" s="545"/>
      <c r="BD4" s="545"/>
      <c r="BE4" s="545"/>
      <c r="BF4" s="545"/>
      <c r="BG4" s="545"/>
      <c r="BH4" s="545"/>
      <c r="BI4" s="545"/>
      <c r="BJ4" s="545"/>
      <c r="BK4" s="545"/>
      <c r="BL4" s="545"/>
      <c r="BM4" s="545"/>
      <c r="BN4" s="545"/>
      <c r="BO4" s="545"/>
      <c r="BP4" s="545"/>
      <c r="BQ4" s="545"/>
      <c r="BR4" s="545"/>
      <c r="BS4" s="545"/>
      <c r="BT4" s="545"/>
      <c r="BU4" s="545"/>
      <c r="BV4" s="545"/>
      <c r="BW4" s="545"/>
      <c r="BX4" s="545"/>
      <c r="BY4" s="545"/>
      <c r="BZ4" s="545"/>
      <c r="CA4" s="545"/>
      <c r="CB4" s="545"/>
      <c r="CC4" s="545"/>
      <c r="CD4" s="545"/>
      <c r="CE4" s="545"/>
      <c r="CF4" s="545"/>
      <c r="CG4" s="545"/>
      <c r="CH4" s="545"/>
      <c r="CI4" s="545"/>
      <c r="CJ4" s="545"/>
      <c r="CK4" s="545"/>
      <c r="CL4" s="545"/>
      <c r="CM4" s="545"/>
      <c r="CN4" s="545"/>
      <c r="CO4" s="545"/>
      <c r="CP4" s="545"/>
      <c r="CQ4" s="545"/>
      <c r="CR4" s="545"/>
      <c r="CS4" s="545"/>
      <c r="CT4" s="545"/>
      <c r="CU4" s="545"/>
      <c r="CV4" s="545"/>
      <c r="CW4" s="545"/>
      <c r="CX4" s="545"/>
      <c r="CY4" s="545"/>
      <c r="CZ4" s="545"/>
      <c r="DA4" s="545"/>
      <c r="DB4" s="545"/>
      <c r="DC4" s="545"/>
      <c r="DD4" s="545"/>
      <c r="DE4" s="545"/>
      <c r="DF4" s="545"/>
      <c r="DG4" s="545"/>
      <c r="DH4" s="545"/>
      <c r="DI4" s="545"/>
      <c r="DJ4" s="545"/>
      <c r="DK4" s="545"/>
      <c r="DL4" s="545"/>
      <c r="DM4" s="545"/>
      <c r="DN4" s="545"/>
      <c r="DO4" s="545"/>
      <c r="DP4" s="545"/>
      <c r="DQ4" s="545"/>
      <c r="DR4" s="545"/>
      <c r="DS4" s="545"/>
      <c r="DT4" s="545"/>
      <c r="DU4" s="545"/>
      <c r="DV4" s="545"/>
      <c r="DW4" s="545"/>
      <c r="DX4" s="545"/>
      <c r="DY4" s="545"/>
      <c r="DZ4" s="545"/>
      <c r="EA4" s="545"/>
      <c r="EB4" s="545"/>
      <c r="EC4" s="545"/>
      <c r="ED4" s="545"/>
      <c r="EE4" s="545"/>
      <c r="EF4" s="545"/>
      <c r="EG4" s="545"/>
      <c r="EH4" s="545"/>
      <c r="EI4" s="545"/>
      <c r="EJ4" s="545"/>
      <c r="EK4" s="545"/>
      <c r="EL4" s="545"/>
      <c r="EM4" s="545"/>
      <c r="EN4" s="545"/>
      <c r="EO4" s="545"/>
      <c r="EP4" s="545"/>
      <c r="EQ4" s="545"/>
      <c r="ER4" s="545"/>
      <c r="ES4" s="545"/>
      <c r="ET4" s="545"/>
      <c r="EU4" s="545"/>
      <c r="EV4" s="545"/>
      <c r="EW4" s="545"/>
      <c r="EX4" s="545"/>
      <c r="EY4" s="545"/>
      <c r="EZ4" s="545"/>
      <c r="FA4" s="545"/>
      <c r="FB4" s="545"/>
      <c r="FC4" s="545"/>
      <c r="FD4" s="545"/>
      <c r="FE4" s="545"/>
      <c r="FF4" s="545"/>
      <c r="FG4" s="545"/>
      <c r="FH4" s="545"/>
      <c r="FI4" s="545"/>
      <c r="FJ4" s="545"/>
      <c r="FK4" s="545"/>
      <c r="FL4" s="545"/>
      <c r="FM4" s="545"/>
      <c r="FN4" s="545"/>
      <c r="FO4" s="545"/>
      <c r="FP4" s="545"/>
      <c r="FQ4" s="545"/>
      <c r="FR4" s="545"/>
      <c r="FS4" s="545"/>
      <c r="FT4" s="545"/>
      <c r="FU4" s="545"/>
      <c r="FV4" s="545"/>
      <c r="FW4" s="545"/>
      <c r="FX4" s="545"/>
      <c r="FY4" s="545"/>
      <c r="FZ4" s="545"/>
      <c r="GA4" s="545"/>
      <c r="GB4" s="545"/>
      <c r="GC4" s="545"/>
      <c r="GD4" s="545"/>
      <c r="GE4" s="545"/>
      <c r="GF4" s="545"/>
      <c r="GG4" s="545"/>
      <c r="GH4" s="545"/>
      <c r="GI4" s="545"/>
      <c r="GJ4" s="545"/>
      <c r="GK4" s="545"/>
      <c r="GL4" s="545"/>
      <c r="GM4" s="545"/>
      <c r="GN4" s="545"/>
      <c r="GO4" s="545"/>
      <c r="GP4" s="545"/>
      <c r="GQ4" s="545"/>
      <c r="GR4" s="545"/>
      <c r="GS4" s="545"/>
      <c r="GT4" s="545"/>
      <c r="GU4" s="545"/>
      <c r="GV4" s="545"/>
      <c r="GW4" s="545"/>
      <c r="GX4" s="545"/>
      <c r="GY4" s="545"/>
      <c r="GZ4" s="545"/>
      <c r="HA4" s="545"/>
      <c r="HB4" s="545"/>
      <c r="HC4" s="545"/>
      <c r="HD4" s="545"/>
      <c r="HE4" s="545"/>
      <c r="HF4" s="545"/>
      <c r="HG4" s="545"/>
      <c r="HH4" s="545"/>
      <c r="HI4" s="545"/>
      <c r="HJ4" s="545"/>
      <c r="HK4" s="545"/>
      <c r="HL4" s="545"/>
      <c r="HM4" s="545"/>
      <c r="HN4" s="545"/>
      <c r="HO4" s="545"/>
      <c r="HP4" s="545"/>
      <c r="HQ4" s="545"/>
      <c r="HR4" s="545"/>
      <c r="HS4" s="545"/>
      <c r="HT4" s="545"/>
      <c r="HU4" s="545"/>
      <c r="HV4" s="545"/>
      <c r="HW4" s="545"/>
      <c r="HX4" s="545"/>
      <c r="HY4" s="545"/>
      <c r="HZ4" s="545"/>
      <c r="IA4" s="545"/>
      <c r="IB4" s="545"/>
      <c r="IC4" s="545"/>
      <c r="ID4" s="545"/>
      <c r="IE4" s="545"/>
      <c r="IF4" s="545"/>
      <c r="IG4" s="545"/>
      <c r="IH4" s="545"/>
      <c r="II4" s="545"/>
      <c r="IJ4" s="545"/>
      <c r="IK4" s="545"/>
      <c r="IL4" s="545"/>
      <c r="IM4" s="545"/>
      <c r="IN4" s="545"/>
      <c r="IO4" s="545"/>
      <c r="IP4" s="545"/>
      <c r="IQ4" s="545"/>
      <c r="IR4" s="545"/>
      <c r="IS4" s="545"/>
    </row>
    <row r="5" spans="1:253" x14ac:dyDescent="0.25">
      <c r="A5" s="543"/>
      <c r="B5" s="543"/>
      <c r="C5" s="543"/>
      <c r="D5" s="543"/>
      <c r="E5" s="547"/>
      <c r="F5" s="547"/>
      <c r="G5" s="547"/>
      <c r="H5" s="547"/>
      <c r="I5" s="543"/>
      <c r="J5" s="543"/>
      <c r="K5" s="543"/>
      <c r="L5" s="543"/>
      <c r="M5" s="543"/>
      <c r="N5" s="543"/>
      <c r="O5" s="543"/>
      <c r="P5" s="543"/>
      <c r="Q5" s="543"/>
      <c r="R5" s="545"/>
      <c r="S5" s="545"/>
      <c r="T5" s="545"/>
      <c r="U5" s="545"/>
      <c r="V5" s="545"/>
      <c r="W5" s="545"/>
      <c r="X5" s="545"/>
      <c r="Y5" s="545"/>
      <c r="Z5" s="545"/>
      <c r="AA5" s="545"/>
      <c r="AB5" s="545"/>
      <c r="AC5" s="545"/>
      <c r="AD5" s="545"/>
      <c r="AE5" s="545"/>
      <c r="AF5" s="545"/>
      <c r="AG5" s="545"/>
      <c r="AH5" s="545"/>
      <c r="AI5" s="545"/>
      <c r="AJ5" s="545"/>
      <c r="AK5" s="545"/>
      <c r="AL5" s="545"/>
      <c r="AM5" s="545"/>
      <c r="AN5" s="545"/>
      <c r="AO5" s="545"/>
      <c r="AP5" s="545"/>
      <c r="AQ5" s="545"/>
      <c r="AR5" s="545"/>
      <c r="AS5" s="545"/>
      <c r="AT5" s="545"/>
      <c r="AU5" s="545"/>
      <c r="AV5" s="545"/>
      <c r="AW5" s="545"/>
      <c r="AX5" s="545"/>
      <c r="AY5" s="545"/>
      <c r="AZ5" s="545"/>
      <c r="BA5" s="545"/>
      <c r="BB5" s="545"/>
      <c r="BC5" s="545"/>
      <c r="BD5" s="545"/>
      <c r="BE5" s="545"/>
      <c r="BF5" s="545"/>
      <c r="BG5" s="545"/>
      <c r="BH5" s="545"/>
      <c r="BI5" s="545"/>
      <c r="BJ5" s="545"/>
      <c r="BK5" s="545"/>
      <c r="BL5" s="545"/>
      <c r="BM5" s="545"/>
      <c r="BN5" s="545"/>
      <c r="BO5" s="545"/>
      <c r="BP5" s="545"/>
      <c r="BQ5" s="545"/>
      <c r="BR5" s="545"/>
      <c r="BS5" s="545"/>
      <c r="BT5" s="545"/>
      <c r="BU5" s="545"/>
      <c r="BV5" s="545"/>
      <c r="BW5" s="545"/>
      <c r="BX5" s="545"/>
      <c r="BY5" s="545"/>
      <c r="BZ5" s="545"/>
      <c r="CA5" s="545"/>
      <c r="CB5" s="545"/>
      <c r="CC5" s="545"/>
      <c r="CD5" s="545"/>
      <c r="CE5" s="545"/>
      <c r="CF5" s="545"/>
      <c r="CG5" s="545"/>
      <c r="CH5" s="545"/>
      <c r="CI5" s="545"/>
      <c r="CJ5" s="545"/>
      <c r="CK5" s="545"/>
      <c r="CL5" s="545"/>
      <c r="CM5" s="545"/>
      <c r="CN5" s="545"/>
      <c r="CO5" s="545"/>
      <c r="CP5" s="545"/>
      <c r="CQ5" s="545"/>
      <c r="CR5" s="545"/>
      <c r="CS5" s="545"/>
      <c r="CT5" s="545"/>
      <c r="CU5" s="545"/>
      <c r="CV5" s="545"/>
      <c r="CW5" s="545"/>
      <c r="CX5" s="545"/>
      <c r="CY5" s="545"/>
      <c r="CZ5" s="545"/>
      <c r="DA5" s="545"/>
      <c r="DB5" s="545"/>
      <c r="DC5" s="545"/>
      <c r="DD5" s="545"/>
      <c r="DE5" s="545"/>
      <c r="DF5" s="545"/>
      <c r="DG5" s="545"/>
      <c r="DH5" s="545"/>
      <c r="DI5" s="545"/>
      <c r="DJ5" s="545"/>
      <c r="DK5" s="545"/>
      <c r="DL5" s="545"/>
      <c r="DM5" s="545"/>
      <c r="DN5" s="545"/>
      <c r="DO5" s="545"/>
      <c r="DP5" s="545"/>
      <c r="DQ5" s="545"/>
      <c r="DR5" s="545"/>
      <c r="DS5" s="545"/>
      <c r="DT5" s="545"/>
      <c r="DU5" s="545"/>
      <c r="DV5" s="545"/>
      <c r="DW5" s="545"/>
      <c r="DX5" s="545"/>
      <c r="DY5" s="545"/>
      <c r="DZ5" s="545"/>
      <c r="EA5" s="545"/>
      <c r="EB5" s="545"/>
      <c r="EC5" s="545"/>
      <c r="ED5" s="545"/>
      <c r="EE5" s="545"/>
      <c r="EF5" s="545"/>
      <c r="EG5" s="545"/>
      <c r="EH5" s="545"/>
      <c r="EI5" s="545"/>
      <c r="EJ5" s="545"/>
      <c r="EK5" s="545"/>
      <c r="EL5" s="545"/>
      <c r="EM5" s="545"/>
      <c r="EN5" s="545"/>
      <c r="EO5" s="545"/>
      <c r="EP5" s="545"/>
      <c r="EQ5" s="545"/>
      <c r="ER5" s="545"/>
      <c r="ES5" s="545"/>
      <c r="ET5" s="545"/>
      <c r="EU5" s="545"/>
      <c r="EV5" s="545"/>
      <c r="EW5" s="545"/>
      <c r="EX5" s="545"/>
      <c r="EY5" s="545"/>
      <c r="EZ5" s="545"/>
      <c r="FA5" s="545"/>
      <c r="FB5" s="545"/>
      <c r="FC5" s="545"/>
      <c r="FD5" s="545"/>
      <c r="FE5" s="545"/>
      <c r="FF5" s="545"/>
      <c r="FG5" s="545"/>
      <c r="FH5" s="545"/>
      <c r="FI5" s="545"/>
      <c r="FJ5" s="545"/>
      <c r="FK5" s="545"/>
      <c r="FL5" s="545"/>
      <c r="FM5" s="545"/>
      <c r="FN5" s="545"/>
      <c r="FO5" s="545"/>
      <c r="FP5" s="545"/>
      <c r="FQ5" s="545"/>
      <c r="FR5" s="545"/>
      <c r="FS5" s="545"/>
      <c r="FT5" s="545"/>
      <c r="FU5" s="545"/>
      <c r="FV5" s="545"/>
      <c r="FW5" s="545"/>
      <c r="FX5" s="545"/>
      <c r="FY5" s="545"/>
      <c r="FZ5" s="545"/>
      <c r="GA5" s="545"/>
      <c r="GB5" s="545"/>
      <c r="GC5" s="545"/>
      <c r="GD5" s="545"/>
      <c r="GE5" s="545"/>
      <c r="GF5" s="545"/>
      <c r="GG5" s="545"/>
      <c r="GH5" s="545"/>
      <c r="GI5" s="545"/>
      <c r="GJ5" s="545"/>
      <c r="GK5" s="545"/>
      <c r="GL5" s="545"/>
      <c r="GM5" s="545"/>
      <c r="GN5" s="545"/>
      <c r="GO5" s="545"/>
      <c r="GP5" s="545"/>
      <c r="GQ5" s="545"/>
      <c r="GR5" s="545"/>
      <c r="GS5" s="545"/>
      <c r="GT5" s="545"/>
      <c r="GU5" s="545"/>
      <c r="GV5" s="545"/>
      <c r="GW5" s="545"/>
      <c r="GX5" s="545"/>
      <c r="GY5" s="545"/>
      <c r="GZ5" s="545"/>
      <c r="HA5" s="545"/>
      <c r="HB5" s="545"/>
      <c r="HC5" s="545"/>
      <c r="HD5" s="545"/>
      <c r="HE5" s="545"/>
      <c r="HF5" s="545"/>
      <c r="HG5" s="545"/>
      <c r="HH5" s="545"/>
      <c r="HI5" s="545"/>
      <c r="HJ5" s="545"/>
      <c r="HK5" s="545"/>
      <c r="HL5" s="545"/>
      <c r="HM5" s="545"/>
      <c r="HN5" s="545"/>
      <c r="HO5" s="545"/>
      <c r="HP5" s="545"/>
      <c r="HQ5" s="545"/>
      <c r="HR5" s="545"/>
      <c r="HS5" s="545"/>
      <c r="HT5" s="545"/>
      <c r="HU5" s="545"/>
      <c r="HV5" s="545"/>
      <c r="HW5" s="545"/>
      <c r="HX5" s="545"/>
      <c r="HY5" s="545"/>
      <c r="HZ5" s="545"/>
      <c r="IA5" s="545"/>
      <c r="IB5" s="545"/>
      <c r="IC5" s="545"/>
      <c r="ID5" s="545"/>
      <c r="IE5" s="545"/>
      <c r="IF5" s="545"/>
      <c r="IG5" s="545"/>
      <c r="IH5" s="545"/>
      <c r="II5" s="545"/>
      <c r="IJ5" s="545"/>
      <c r="IK5" s="545"/>
      <c r="IL5" s="545"/>
      <c r="IM5" s="545"/>
      <c r="IN5" s="545"/>
      <c r="IO5" s="545"/>
      <c r="IP5" s="545"/>
      <c r="IQ5" s="545"/>
      <c r="IR5" s="545"/>
      <c r="IS5" s="545"/>
    </row>
    <row r="6" spans="1:253" x14ac:dyDescent="0.25">
      <c r="A6" s="548"/>
      <c r="B6" s="543"/>
      <c r="C6" s="543"/>
      <c r="D6" s="543"/>
      <c r="E6" s="549" t="s">
        <v>560</v>
      </c>
      <c r="F6" s="545"/>
      <c r="G6" s="550"/>
      <c r="H6" s="543"/>
      <c r="I6" s="543"/>
      <c r="J6" s="543"/>
      <c r="K6" s="543"/>
      <c r="L6" s="543"/>
      <c r="M6" s="543"/>
      <c r="N6" s="543"/>
      <c r="O6" s="543"/>
      <c r="P6" s="543"/>
      <c r="Q6" s="543"/>
      <c r="R6" s="545"/>
      <c r="S6" s="545"/>
      <c r="T6" s="545"/>
      <c r="U6" s="545"/>
      <c r="V6" s="545"/>
      <c r="W6" s="545"/>
      <c r="X6" s="545"/>
      <c r="Y6" s="545"/>
      <c r="Z6" s="545"/>
      <c r="AA6" s="545"/>
      <c r="AB6" s="545"/>
      <c r="AC6" s="545"/>
      <c r="AD6" s="545"/>
      <c r="AE6" s="545"/>
      <c r="AF6" s="545"/>
      <c r="AG6" s="545"/>
      <c r="AH6" s="545"/>
      <c r="AI6" s="545"/>
      <c r="AJ6" s="545"/>
      <c r="AK6" s="545"/>
      <c r="AL6" s="545"/>
      <c r="AM6" s="545"/>
      <c r="AN6" s="545"/>
      <c r="AO6" s="545"/>
      <c r="AP6" s="545"/>
      <c r="AQ6" s="545"/>
      <c r="AR6" s="545"/>
      <c r="AS6" s="545"/>
      <c r="AT6" s="545"/>
      <c r="AU6" s="545"/>
      <c r="AV6" s="545"/>
      <c r="AW6" s="545"/>
      <c r="AX6" s="545"/>
      <c r="AY6" s="545"/>
      <c r="AZ6" s="545"/>
      <c r="BA6" s="545"/>
      <c r="BB6" s="545"/>
      <c r="BC6" s="545"/>
      <c r="BD6" s="545"/>
      <c r="BE6" s="545"/>
      <c r="BF6" s="545"/>
      <c r="BG6" s="545"/>
      <c r="BH6" s="545"/>
      <c r="BI6" s="545"/>
      <c r="BJ6" s="545"/>
      <c r="BK6" s="545"/>
      <c r="BL6" s="545"/>
      <c r="BM6" s="545"/>
      <c r="BN6" s="545"/>
      <c r="BO6" s="545"/>
      <c r="BP6" s="545"/>
      <c r="BQ6" s="545"/>
      <c r="BR6" s="545"/>
      <c r="BS6" s="545"/>
      <c r="BT6" s="545"/>
      <c r="BU6" s="545"/>
      <c r="BV6" s="545"/>
      <c r="BW6" s="545"/>
      <c r="BX6" s="545"/>
      <c r="BY6" s="545"/>
      <c r="BZ6" s="545"/>
      <c r="CA6" s="545"/>
      <c r="CB6" s="545"/>
      <c r="CC6" s="545"/>
      <c r="CD6" s="545"/>
      <c r="CE6" s="545"/>
      <c r="CF6" s="545"/>
      <c r="CG6" s="545"/>
      <c r="CH6" s="545"/>
      <c r="CI6" s="545"/>
      <c r="CJ6" s="545"/>
      <c r="CK6" s="545"/>
      <c r="CL6" s="545"/>
      <c r="CM6" s="545"/>
      <c r="CN6" s="545"/>
      <c r="CO6" s="545"/>
      <c r="CP6" s="545"/>
      <c r="CQ6" s="545"/>
      <c r="CR6" s="545"/>
      <c r="CS6" s="545"/>
      <c r="CT6" s="545"/>
      <c r="CU6" s="545"/>
      <c r="CV6" s="545"/>
      <c r="CW6" s="545"/>
      <c r="CX6" s="545"/>
      <c r="CY6" s="545"/>
      <c r="CZ6" s="545"/>
      <c r="DA6" s="545"/>
      <c r="DB6" s="545"/>
      <c r="DC6" s="545"/>
      <c r="DD6" s="545"/>
      <c r="DE6" s="545"/>
      <c r="DF6" s="545"/>
      <c r="DG6" s="545"/>
      <c r="DH6" s="545"/>
      <c r="DI6" s="545"/>
      <c r="DJ6" s="545"/>
      <c r="DK6" s="545"/>
      <c r="DL6" s="545"/>
      <c r="DM6" s="545"/>
      <c r="DN6" s="545"/>
      <c r="DO6" s="545"/>
      <c r="DP6" s="545"/>
      <c r="DQ6" s="545"/>
      <c r="DR6" s="545"/>
      <c r="DS6" s="545"/>
      <c r="DT6" s="545"/>
      <c r="DU6" s="545"/>
      <c r="DV6" s="545"/>
      <c r="DW6" s="545"/>
      <c r="DX6" s="545"/>
      <c r="DY6" s="545"/>
      <c r="DZ6" s="545"/>
      <c r="EA6" s="545"/>
      <c r="EB6" s="545"/>
      <c r="EC6" s="545"/>
      <c r="ED6" s="545"/>
      <c r="EE6" s="545"/>
      <c r="EF6" s="545"/>
      <c r="EG6" s="545"/>
      <c r="EH6" s="545"/>
      <c r="EI6" s="545"/>
      <c r="EJ6" s="545"/>
      <c r="EK6" s="545"/>
      <c r="EL6" s="545"/>
      <c r="EM6" s="545"/>
      <c r="EN6" s="545"/>
      <c r="EO6" s="545"/>
      <c r="EP6" s="545"/>
      <c r="EQ6" s="545"/>
      <c r="ER6" s="545"/>
      <c r="ES6" s="545"/>
      <c r="ET6" s="545"/>
      <c r="EU6" s="545"/>
      <c r="EV6" s="545"/>
      <c r="EW6" s="545"/>
      <c r="EX6" s="545"/>
      <c r="EY6" s="545"/>
      <c r="EZ6" s="545"/>
      <c r="FA6" s="545"/>
      <c r="FB6" s="545"/>
      <c r="FC6" s="545"/>
      <c r="FD6" s="545"/>
      <c r="FE6" s="545"/>
      <c r="FF6" s="545"/>
      <c r="FG6" s="545"/>
      <c r="FH6" s="545"/>
      <c r="FI6" s="545"/>
      <c r="FJ6" s="545"/>
      <c r="FK6" s="545"/>
      <c r="FL6" s="545"/>
      <c r="FM6" s="545"/>
      <c r="FN6" s="545"/>
      <c r="FO6" s="545"/>
      <c r="FP6" s="545"/>
      <c r="FQ6" s="545"/>
      <c r="FR6" s="545"/>
      <c r="FS6" s="545"/>
      <c r="FT6" s="545"/>
      <c r="FU6" s="545"/>
      <c r="FV6" s="545"/>
      <c r="FW6" s="545"/>
      <c r="FX6" s="545"/>
      <c r="FY6" s="545"/>
      <c r="FZ6" s="545"/>
      <c r="GA6" s="545"/>
      <c r="GB6" s="545"/>
      <c r="GC6" s="545"/>
      <c r="GD6" s="545"/>
      <c r="GE6" s="545"/>
      <c r="GF6" s="545"/>
      <c r="GG6" s="545"/>
      <c r="GH6" s="545"/>
      <c r="GI6" s="545"/>
      <c r="GJ6" s="545"/>
      <c r="GK6" s="545"/>
      <c r="GL6" s="545"/>
      <c r="GM6" s="545"/>
      <c r="GN6" s="545"/>
      <c r="GO6" s="545"/>
      <c r="GP6" s="545"/>
      <c r="GQ6" s="545"/>
      <c r="GR6" s="545"/>
      <c r="GS6" s="545"/>
      <c r="GT6" s="545"/>
      <c r="GU6" s="545"/>
      <c r="GV6" s="545"/>
      <c r="GW6" s="545"/>
      <c r="GX6" s="545"/>
      <c r="GY6" s="545"/>
      <c r="GZ6" s="545"/>
      <c r="HA6" s="545"/>
      <c r="HB6" s="545"/>
      <c r="HC6" s="545"/>
      <c r="HD6" s="545"/>
      <c r="HE6" s="545"/>
      <c r="HF6" s="545"/>
      <c r="HG6" s="545"/>
      <c r="HH6" s="545"/>
      <c r="HI6" s="545"/>
      <c r="HJ6" s="545"/>
      <c r="HK6" s="545"/>
      <c r="HL6" s="545"/>
      <c r="HM6" s="545"/>
      <c r="HN6" s="545"/>
      <c r="HO6" s="545"/>
      <c r="HP6" s="545"/>
      <c r="HQ6" s="545"/>
      <c r="HR6" s="545"/>
      <c r="HS6" s="545"/>
      <c r="HT6" s="545"/>
      <c r="HU6" s="545"/>
      <c r="HV6" s="545"/>
      <c r="HW6" s="545"/>
      <c r="HX6" s="545"/>
      <c r="HY6" s="545"/>
      <c r="HZ6" s="545"/>
      <c r="IA6" s="545"/>
      <c r="IB6" s="545"/>
      <c r="IC6" s="545"/>
      <c r="ID6" s="545"/>
      <c r="IE6" s="545"/>
      <c r="IF6" s="545"/>
      <c r="IG6" s="545"/>
      <c r="IH6" s="545"/>
      <c r="II6" s="545"/>
      <c r="IJ6" s="545"/>
      <c r="IK6" s="545"/>
      <c r="IL6" s="545"/>
      <c r="IM6" s="545"/>
      <c r="IN6" s="545"/>
      <c r="IO6" s="545"/>
      <c r="IP6" s="545"/>
      <c r="IQ6" s="545"/>
      <c r="IR6" s="545"/>
      <c r="IS6" s="545"/>
    </row>
    <row r="7" spans="1:253" x14ac:dyDescent="0.25">
      <c r="A7" s="551"/>
      <c r="B7" s="551"/>
      <c r="C7" s="551"/>
      <c r="D7" s="551"/>
      <c r="E7" s="551"/>
      <c r="F7" s="552"/>
      <c r="G7" s="552"/>
      <c r="H7" s="552"/>
      <c r="I7" s="553"/>
      <c r="J7" s="553"/>
      <c r="K7" s="246"/>
      <c r="M7" s="246"/>
      <c r="N7" s="246"/>
      <c r="O7" s="246"/>
      <c r="P7" s="246"/>
      <c r="Q7" s="538"/>
    </row>
    <row r="8" spans="1:253" x14ac:dyDescent="0.25">
      <c r="A8" s="554"/>
      <c r="B8" s="555"/>
      <c r="C8" s="555"/>
      <c r="D8" s="555"/>
      <c r="E8" s="554"/>
      <c r="F8" s="556"/>
      <c r="G8" s="556"/>
      <c r="H8" s="556"/>
      <c r="Q8" s="538"/>
    </row>
    <row r="9" spans="1:253" x14ac:dyDescent="0.25">
      <c r="A9" s="554"/>
      <c r="B9" s="555"/>
      <c r="C9" s="555"/>
      <c r="D9" s="555"/>
      <c r="E9" s="554"/>
      <c r="F9" s="556"/>
      <c r="G9" s="556"/>
      <c r="H9" s="556"/>
      <c r="Q9" s="538"/>
    </row>
    <row r="10" spans="1:253" ht="12.75" customHeight="1" x14ac:dyDescent="0.25">
      <c r="A10" s="771" t="s">
        <v>375</v>
      </c>
      <c r="B10" s="771"/>
      <c r="C10" s="771"/>
      <c r="D10" s="771"/>
      <c r="E10" s="771"/>
      <c r="F10" s="771"/>
      <c r="G10" s="771"/>
      <c r="H10" s="771"/>
      <c r="I10" s="558"/>
      <c r="J10" s="558"/>
      <c r="K10" s="558"/>
      <c r="L10" s="558"/>
      <c r="M10" s="558"/>
      <c r="N10" s="558"/>
      <c r="O10" s="558"/>
      <c r="P10" s="558"/>
      <c r="Q10" s="558"/>
    </row>
    <row r="11" spans="1:253" ht="35.25" hidden="1" customHeight="1" x14ac:dyDescent="0.25">
      <c r="I11" s="560"/>
      <c r="J11" s="560"/>
      <c r="K11" s="560"/>
      <c r="L11" s="560"/>
      <c r="M11" s="560"/>
      <c r="N11" s="560"/>
      <c r="O11" s="560"/>
      <c r="P11" s="561"/>
      <c r="Q11" s="538"/>
    </row>
    <row r="12" spans="1:253" ht="15.75" customHeight="1" x14ac:dyDescent="0.25">
      <c r="A12" s="772" t="s">
        <v>376</v>
      </c>
      <c r="B12" s="772"/>
      <c r="C12" s="772"/>
      <c r="D12" s="772"/>
      <c r="E12" s="772"/>
      <c r="F12" s="772"/>
      <c r="G12" s="772"/>
      <c r="H12" s="772"/>
      <c r="I12" s="560"/>
      <c r="J12" s="560"/>
      <c r="K12" s="560"/>
      <c r="L12" s="560"/>
      <c r="M12" s="560"/>
      <c r="N12" s="560"/>
      <c r="O12" s="560"/>
      <c r="P12" s="561"/>
      <c r="Q12" s="538"/>
    </row>
    <row r="13" spans="1:253" ht="35.25" customHeight="1" x14ac:dyDescent="0.25">
      <c r="A13" s="773" t="s">
        <v>377</v>
      </c>
      <c r="B13" s="773"/>
      <c r="C13" s="773"/>
      <c r="D13" s="773"/>
      <c r="E13" s="773"/>
      <c r="F13" s="773"/>
      <c r="G13" s="773"/>
      <c r="H13" s="773"/>
      <c r="I13" s="560"/>
      <c r="J13" s="560"/>
      <c r="K13" s="560"/>
      <c r="L13" s="560"/>
      <c r="M13" s="560"/>
      <c r="N13" s="560"/>
      <c r="O13" s="560"/>
      <c r="P13" s="561"/>
      <c r="Q13" s="538"/>
    </row>
    <row r="14" spans="1:253" x14ac:dyDescent="0.25">
      <c r="A14" s="538"/>
      <c r="B14" s="538"/>
      <c r="C14" s="538"/>
      <c r="D14" s="538"/>
      <c r="E14" s="538"/>
      <c r="F14" s="538"/>
      <c r="G14" s="538"/>
      <c r="I14" s="560"/>
      <c r="J14" s="560"/>
      <c r="K14" s="560"/>
      <c r="L14" s="560"/>
      <c r="M14" s="560"/>
      <c r="N14" s="560"/>
      <c r="O14" s="560"/>
      <c r="P14" s="561"/>
      <c r="Q14" s="538"/>
    </row>
    <row r="15" spans="1:253" ht="105" x14ac:dyDescent="0.25">
      <c r="A15" s="562" t="s">
        <v>62</v>
      </c>
      <c r="B15" s="562" t="s">
        <v>378</v>
      </c>
      <c r="C15" s="562" t="s">
        <v>379</v>
      </c>
      <c r="D15" s="562" t="s">
        <v>272</v>
      </c>
      <c r="E15" s="562" t="s">
        <v>380</v>
      </c>
      <c r="F15" s="562" t="s">
        <v>381</v>
      </c>
      <c r="G15" s="562"/>
      <c r="H15" s="563" t="s">
        <v>382</v>
      </c>
      <c r="I15" s="560"/>
      <c r="J15" s="560"/>
      <c r="K15" s="560"/>
      <c r="L15" s="560"/>
      <c r="M15" s="560"/>
      <c r="N15" s="560"/>
      <c r="O15" s="560"/>
      <c r="P15" s="561"/>
      <c r="Q15" s="538"/>
    </row>
    <row r="16" spans="1:253" x14ac:dyDescent="0.25">
      <c r="A16" s="564"/>
      <c r="B16" s="565" t="s">
        <v>277</v>
      </c>
      <c r="C16" s="566"/>
      <c r="D16" s="566"/>
      <c r="E16" s="564"/>
      <c r="F16" s="564"/>
      <c r="G16" s="564"/>
      <c r="H16" s="567"/>
      <c r="I16" s="560"/>
      <c r="J16" s="560"/>
      <c r="K16" s="560"/>
      <c r="L16" s="560"/>
      <c r="M16" s="560"/>
      <c r="N16" s="560"/>
      <c r="O16" s="560"/>
      <c r="P16" s="561"/>
      <c r="Q16" s="538"/>
    </row>
    <row r="17" spans="1:17" x14ac:dyDescent="0.25">
      <c r="A17" s="564"/>
      <c r="B17" s="565"/>
      <c r="C17" s="566"/>
      <c r="D17" s="566"/>
      <c r="E17" s="564"/>
      <c r="F17" s="564"/>
      <c r="G17" s="564"/>
      <c r="H17" s="567"/>
      <c r="I17" s="560"/>
      <c r="J17" s="560"/>
      <c r="K17" s="560"/>
      <c r="L17" s="560"/>
      <c r="M17" s="560"/>
      <c r="N17" s="560"/>
      <c r="O17" s="560"/>
      <c r="P17" s="561"/>
      <c r="Q17" s="538"/>
    </row>
    <row r="18" spans="1:17" ht="60" x14ac:dyDescent="0.25">
      <c r="A18" s="568" t="s">
        <v>383</v>
      </c>
      <c r="B18" s="569" t="s">
        <v>384</v>
      </c>
      <c r="C18" s="569" t="s">
        <v>385</v>
      </c>
      <c r="D18" s="591">
        <v>2.97</v>
      </c>
      <c r="E18" s="568" t="s">
        <v>386</v>
      </c>
      <c r="F18" s="570" t="s">
        <v>462</v>
      </c>
      <c r="G18" s="568"/>
      <c r="H18" s="571">
        <f>23.3*D18</f>
        <v>69.201000000000008</v>
      </c>
      <c r="I18" s="560"/>
      <c r="J18" s="560"/>
      <c r="K18" s="560"/>
      <c r="L18" s="560"/>
      <c r="M18" s="560"/>
      <c r="N18" s="560"/>
      <c r="O18" s="560"/>
      <c r="P18" s="561"/>
      <c r="Q18" s="538"/>
    </row>
    <row r="19" spans="1:17" hidden="1" x14ac:dyDescent="0.25">
      <c r="A19" s="572"/>
      <c r="B19" s="566"/>
      <c r="C19" s="566"/>
      <c r="D19" s="566"/>
      <c r="E19" s="564"/>
      <c r="F19" s="564"/>
      <c r="G19" s="564"/>
      <c r="H19" s="567"/>
      <c r="I19" s="560"/>
      <c r="J19" s="560"/>
      <c r="K19" s="560"/>
      <c r="L19" s="560"/>
      <c r="M19" s="560"/>
      <c r="N19" s="560"/>
      <c r="O19" s="560"/>
      <c r="P19" s="561"/>
      <c r="Q19" s="538"/>
    </row>
    <row r="20" spans="1:17" hidden="1" x14ac:dyDescent="0.25">
      <c r="A20" s="572"/>
      <c r="B20" s="566"/>
      <c r="C20" s="566"/>
      <c r="D20" s="566"/>
      <c r="E20" s="564"/>
      <c r="F20" s="564"/>
      <c r="G20" s="564"/>
      <c r="H20" s="567"/>
      <c r="I20" s="560"/>
      <c r="J20" s="560"/>
      <c r="K20" s="560"/>
      <c r="L20" s="560"/>
      <c r="M20" s="560"/>
      <c r="N20" s="560"/>
      <c r="O20" s="560"/>
      <c r="P20" s="561"/>
      <c r="Q20" s="538"/>
    </row>
    <row r="21" spans="1:17" ht="37.5" customHeight="1" x14ac:dyDescent="0.25">
      <c r="A21" s="766" t="s">
        <v>387</v>
      </c>
      <c r="B21" s="587" t="s">
        <v>464</v>
      </c>
      <c r="C21" s="766" t="s">
        <v>388</v>
      </c>
      <c r="D21" s="766">
        <v>18</v>
      </c>
      <c r="E21" s="574" t="s">
        <v>465</v>
      </c>
      <c r="F21" s="570" t="s">
        <v>467</v>
      </c>
      <c r="G21" s="568"/>
      <c r="H21" s="571">
        <f>8.8*D21</f>
        <v>158.4</v>
      </c>
      <c r="I21" s="560"/>
      <c r="J21" s="560"/>
      <c r="K21" s="560"/>
      <c r="L21" s="560"/>
      <c r="M21" s="560"/>
      <c r="N21" s="560"/>
      <c r="O21" s="560"/>
      <c r="P21" s="561"/>
      <c r="Q21" s="538"/>
    </row>
    <row r="22" spans="1:17" ht="15" hidden="1" customHeight="1" x14ac:dyDescent="0.25">
      <c r="A22" s="767"/>
      <c r="B22" s="588"/>
      <c r="C22" s="767"/>
      <c r="D22" s="767"/>
      <c r="E22" s="568"/>
      <c r="F22" s="568"/>
      <c r="G22" s="568"/>
      <c r="H22" s="571"/>
      <c r="I22" s="560"/>
      <c r="J22" s="560"/>
      <c r="K22" s="560"/>
      <c r="L22" s="560"/>
      <c r="M22" s="560"/>
      <c r="N22" s="560"/>
      <c r="O22" s="560"/>
      <c r="P22" s="561"/>
      <c r="Q22" s="538"/>
    </row>
    <row r="23" spans="1:17" ht="15" hidden="1" customHeight="1" x14ac:dyDescent="0.25">
      <c r="A23" s="767"/>
      <c r="B23" s="589"/>
      <c r="C23" s="767"/>
      <c r="D23" s="767"/>
      <c r="E23" s="568"/>
      <c r="F23" s="568"/>
      <c r="G23" s="568"/>
      <c r="H23" s="571"/>
      <c r="I23" s="560"/>
      <c r="J23" s="560"/>
      <c r="K23" s="560"/>
      <c r="L23" s="560"/>
      <c r="M23" s="560"/>
      <c r="N23" s="560"/>
      <c r="O23" s="560"/>
      <c r="P23" s="561"/>
      <c r="Q23" s="538"/>
    </row>
    <row r="24" spans="1:17" ht="15" hidden="1" customHeight="1" x14ac:dyDescent="0.25">
      <c r="A24" s="767"/>
      <c r="B24" s="569"/>
      <c r="C24" s="767"/>
      <c r="D24" s="767"/>
      <c r="E24" s="568"/>
      <c r="F24" s="568"/>
      <c r="G24" s="568"/>
      <c r="H24" s="571"/>
      <c r="I24" s="560"/>
      <c r="J24" s="560"/>
      <c r="K24" s="560"/>
      <c r="L24" s="560"/>
      <c r="M24" s="560"/>
      <c r="N24" s="560"/>
      <c r="O24" s="560"/>
      <c r="P24" s="561"/>
      <c r="Q24" s="538"/>
    </row>
    <row r="25" spans="1:17" ht="15" hidden="1" customHeight="1" x14ac:dyDescent="0.25">
      <c r="A25" s="767"/>
      <c r="B25" s="569"/>
      <c r="C25" s="767"/>
      <c r="D25" s="767"/>
      <c r="E25" s="568"/>
      <c r="F25" s="568"/>
      <c r="G25" s="568"/>
      <c r="H25" s="571"/>
      <c r="I25" s="560"/>
      <c r="J25" s="560"/>
      <c r="K25" s="560"/>
      <c r="L25" s="560"/>
      <c r="M25" s="560"/>
      <c r="N25" s="560"/>
      <c r="O25" s="560"/>
      <c r="P25" s="561"/>
      <c r="Q25" s="538"/>
    </row>
    <row r="26" spans="1:17" ht="120" hidden="1" customHeight="1" x14ac:dyDescent="0.25">
      <c r="A26" s="767"/>
      <c r="B26" s="573" t="s">
        <v>389</v>
      </c>
      <c r="C26" s="767"/>
      <c r="D26" s="767"/>
      <c r="E26" s="574" t="s">
        <v>390</v>
      </c>
      <c r="F26" s="570" t="s">
        <v>391</v>
      </c>
      <c r="G26" s="568"/>
      <c r="H26" s="571">
        <f>1.8*0.6*D26</f>
        <v>0</v>
      </c>
      <c r="I26" s="560"/>
      <c r="J26" s="560"/>
      <c r="K26" s="560"/>
      <c r="L26" s="560"/>
      <c r="M26" s="560"/>
      <c r="N26" s="560"/>
      <c r="O26" s="560"/>
      <c r="P26" s="561"/>
      <c r="Q26" s="538"/>
    </row>
    <row r="27" spans="1:17" ht="39" customHeight="1" x14ac:dyDescent="0.25">
      <c r="A27" s="768"/>
      <c r="B27" s="590"/>
      <c r="C27" s="768"/>
      <c r="D27" s="768"/>
      <c r="E27" s="574" t="s">
        <v>466</v>
      </c>
      <c r="F27" s="570">
        <v>1.5</v>
      </c>
      <c r="G27" s="568"/>
      <c r="H27" s="571">
        <f>H21*1.5</f>
        <v>237.60000000000002</v>
      </c>
      <c r="I27" s="560"/>
      <c r="J27" s="560"/>
      <c r="K27" s="560"/>
      <c r="L27" s="560"/>
      <c r="M27" s="560"/>
      <c r="N27" s="560"/>
      <c r="O27" s="560"/>
      <c r="P27" s="561"/>
      <c r="Q27" s="538"/>
    </row>
    <row r="28" spans="1:17" ht="45" x14ac:dyDescent="0.25">
      <c r="A28" s="568">
        <v>3</v>
      </c>
      <c r="B28" s="569" t="s">
        <v>392</v>
      </c>
      <c r="C28" s="568" t="s">
        <v>393</v>
      </c>
      <c r="D28" s="568">
        <v>8</v>
      </c>
      <c r="E28" s="568" t="s">
        <v>394</v>
      </c>
      <c r="F28" s="570" t="s">
        <v>395</v>
      </c>
      <c r="G28" s="568"/>
      <c r="H28" s="571">
        <f>22.9*D28</f>
        <v>183.2</v>
      </c>
      <c r="I28" s="560"/>
      <c r="J28" s="560"/>
      <c r="K28" s="560"/>
      <c r="L28" s="560"/>
      <c r="M28" s="560"/>
      <c r="N28" s="560"/>
      <c r="O28" s="560"/>
      <c r="P28" s="561"/>
      <c r="Q28" s="538"/>
    </row>
    <row r="29" spans="1:17" ht="60" x14ac:dyDescent="0.25">
      <c r="A29" s="568">
        <v>4</v>
      </c>
      <c r="B29" s="573" t="s">
        <v>396</v>
      </c>
      <c r="C29" s="568" t="s">
        <v>397</v>
      </c>
      <c r="D29" s="568">
        <v>6</v>
      </c>
      <c r="E29" s="574" t="s">
        <v>398</v>
      </c>
      <c r="F29" s="570" t="s">
        <v>399</v>
      </c>
      <c r="G29" s="568"/>
      <c r="H29" s="571">
        <f>14.4*D29</f>
        <v>86.4</v>
      </c>
      <c r="I29" s="560"/>
      <c r="J29" s="560"/>
      <c r="K29" s="560"/>
      <c r="L29" s="560"/>
      <c r="M29" s="560"/>
      <c r="N29" s="560"/>
      <c r="O29" s="560"/>
      <c r="P29" s="561"/>
      <c r="Q29" s="538"/>
    </row>
    <row r="30" spans="1:17" x14ac:dyDescent="0.25">
      <c r="A30" s="568"/>
      <c r="B30" s="573" t="s">
        <v>400</v>
      </c>
      <c r="C30" s="568"/>
      <c r="D30" s="568"/>
      <c r="E30" s="574"/>
      <c r="F30" s="575"/>
      <c r="G30" s="568"/>
      <c r="H30" s="571">
        <f>H18+H21+H26+H27+H28+H29</f>
        <v>734.80100000000004</v>
      </c>
      <c r="I30" s="560"/>
      <c r="J30" s="560"/>
      <c r="K30" s="560"/>
      <c r="L30" s="560"/>
      <c r="M30" s="560"/>
      <c r="N30" s="560"/>
      <c r="O30" s="560"/>
      <c r="P30" s="561"/>
      <c r="Q30" s="538"/>
    </row>
    <row r="31" spans="1:17" ht="60" x14ac:dyDescent="0.25">
      <c r="A31" s="576">
        <v>5</v>
      </c>
      <c r="B31" s="577" t="s">
        <v>401</v>
      </c>
      <c r="C31" s="576"/>
      <c r="D31" s="576"/>
      <c r="E31" s="574" t="s">
        <v>402</v>
      </c>
      <c r="F31" s="570" t="s">
        <v>403</v>
      </c>
      <c r="G31" s="576"/>
      <c r="H31" s="578">
        <f>H30*1.3</f>
        <v>955.24130000000014</v>
      </c>
      <c r="I31" s="560"/>
      <c r="J31" s="560"/>
      <c r="K31" s="560"/>
      <c r="L31" s="560"/>
      <c r="M31" s="560"/>
      <c r="N31" s="560"/>
      <c r="O31" s="560"/>
      <c r="P31" s="561"/>
      <c r="Q31" s="538"/>
    </row>
    <row r="32" spans="1:17" x14ac:dyDescent="0.25">
      <c r="A32" s="568"/>
      <c r="B32" s="576" t="s">
        <v>404</v>
      </c>
      <c r="C32" s="568"/>
      <c r="D32" s="568"/>
      <c r="E32" s="568"/>
      <c r="F32" s="568"/>
      <c r="G32" s="568"/>
      <c r="H32" s="571"/>
      <c r="I32" s="560"/>
      <c r="J32" s="560"/>
      <c r="K32" s="560"/>
      <c r="L32" s="560"/>
      <c r="M32" s="560"/>
      <c r="N32" s="560"/>
      <c r="O32" s="560"/>
      <c r="P32" s="561"/>
      <c r="Q32" s="538"/>
    </row>
    <row r="33" spans="1:17" ht="45" x14ac:dyDescent="0.25">
      <c r="A33" s="568">
        <v>6</v>
      </c>
      <c r="B33" s="573" t="s">
        <v>405</v>
      </c>
      <c r="C33" s="568" t="s">
        <v>166</v>
      </c>
      <c r="D33" s="579">
        <v>0</v>
      </c>
      <c r="E33" s="574" t="s">
        <v>406</v>
      </c>
      <c r="F33" s="570" t="s">
        <v>407</v>
      </c>
      <c r="G33" s="568"/>
      <c r="H33" s="571">
        <v>0</v>
      </c>
      <c r="I33" s="560"/>
      <c r="J33" s="560"/>
      <c r="K33" s="560"/>
      <c r="L33" s="560"/>
      <c r="M33" s="560"/>
      <c r="N33" s="560"/>
      <c r="O33" s="560"/>
      <c r="P33" s="561"/>
      <c r="Q33" s="538"/>
    </row>
    <row r="34" spans="1:17" ht="105" x14ac:dyDescent="0.25">
      <c r="A34" s="568">
        <v>7</v>
      </c>
      <c r="B34" s="569" t="s">
        <v>408</v>
      </c>
      <c r="C34" s="568" t="s">
        <v>166</v>
      </c>
      <c r="D34" s="579">
        <v>0.14000000000000001</v>
      </c>
      <c r="E34" s="568" t="s">
        <v>409</v>
      </c>
      <c r="F34" s="570" t="s">
        <v>410</v>
      </c>
      <c r="G34" s="568"/>
      <c r="H34" s="571">
        <f>(H31+H33)*0.14</f>
        <v>133.73378200000002</v>
      </c>
      <c r="I34" s="560"/>
      <c r="J34" s="560"/>
      <c r="K34" s="560"/>
      <c r="L34" s="560"/>
      <c r="M34" s="560"/>
      <c r="N34" s="560"/>
      <c r="O34" s="560"/>
      <c r="P34" s="561"/>
      <c r="Q34" s="538"/>
    </row>
    <row r="35" spans="1:17" ht="60" x14ac:dyDescent="0.25">
      <c r="A35" s="568">
        <v>8</v>
      </c>
      <c r="B35" s="569" t="s">
        <v>411</v>
      </c>
      <c r="C35" s="568" t="s">
        <v>166</v>
      </c>
      <c r="D35" s="580">
        <v>0.06</v>
      </c>
      <c r="E35" s="568" t="s">
        <v>412</v>
      </c>
      <c r="F35" s="570" t="s">
        <v>413</v>
      </c>
      <c r="G35" s="568"/>
      <c r="H35" s="571">
        <f>(H31+H33)*0.06</f>
        <v>57.314478000000008</v>
      </c>
      <c r="I35" s="560"/>
      <c r="J35" s="560"/>
      <c r="K35" s="560"/>
      <c r="L35" s="560"/>
      <c r="M35" s="560"/>
      <c r="N35" s="560"/>
      <c r="O35" s="560"/>
      <c r="P35" s="561"/>
      <c r="Q35" s="538"/>
    </row>
    <row r="36" spans="1:17" x14ac:dyDescent="0.25">
      <c r="A36" s="576">
        <v>9</v>
      </c>
      <c r="B36" s="577" t="s">
        <v>414</v>
      </c>
      <c r="C36" s="576"/>
      <c r="D36" s="576"/>
      <c r="E36" s="576"/>
      <c r="F36" s="576"/>
      <c r="G36" s="576"/>
      <c r="H36" s="578">
        <f>H33+H34+H35</f>
        <v>191.04826000000003</v>
      </c>
      <c r="I36" s="560"/>
      <c r="J36" s="560"/>
      <c r="K36" s="560"/>
      <c r="L36" s="560"/>
      <c r="M36" s="560"/>
      <c r="N36" s="560"/>
      <c r="O36" s="560"/>
      <c r="P36" s="561"/>
      <c r="Q36" s="538"/>
    </row>
    <row r="37" spans="1:17" x14ac:dyDescent="0.25">
      <c r="A37" s="568"/>
      <c r="B37" s="576" t="s">
        <v>415</v>
      </c>
      <c r="C37" s="568"/>
      <c r="D37" s="568"/>
      <c r="E37" s="568"/>
      <c r="F37" s="568"/>
      <c r="G37" s="568"/>
      <c r="H37" s="571"/>
      <c r="I37" s="560"/>
      <c r="J37" s="560"/>
      <c r="K37" s="560"/>
      <c r="L37" s="560"/>
      <c r="M37" s="560"/>
      <c r="N37" s="560"/>
      <c r="O37" s="560"/>
      <c r="P37" s="561"/>
      <c r="Q37" s="538"/>
    </row>
    <row r="38" spans="1:17" ht="90" x14ac:dyDescent="0.25">
      <c r="A38" s="568">
        <v>10</v>
      </c>
      <c r="B38" s="569" t="s">
        <v>416</v>
      </c>
      <c r="C38" s="568" t="s">
        <v>417</v>
      </c>
      <c r="D38" s="568">
        <v>8</v>
      </c>
      <c r="E38" s="568" t="s">
        <v>418</v>
      </c>
      <c r="F38" s="570" t="s">
        <v>419</v>
      </c>
      <c r="G38" s="568"/>
      <c r="H38" s="571">
        <f>38.4*D38</f>
        <v>307.2</v>
      </c>
      <c r="I38" s="560"/>
      <c r="J38" s="560"/>
      <c r="K38" s="560"/>
      <c r="L38" s="560"/>
      <c r="M38" s="560"/>
      <c r="N38" s="560"/>
      <c r="O38" s="560"/>
      <c r="P38" s="561"/>
      <c r="Q38" s="538"/>
    </row>
    <row r="39" spans="1:17" ht="45" x14ac:dyDescent="0.25">
      <c r="A39" s="568">
        <v>11</v>
      </c>
      <c r="B39" s="569" t="s">
        <v>420</v>
      </c>
      <c r="C39" s="568" t="s">
        <v>417</v>
      </c>
      <c r="D39" s="568">
        <v>8</v>
      </c>
      <c r="E39" s="568" t="s">
        <v>421</v>
      </c>
      <c r="F39" s="570" t="s">
        <v>422</v>
      </c>
      <c r="G39" s="568"/>
      <c r="H39" s="571">
        <f>5.3*D39</f>
        <v>42.4</v>
      </c>
      <c r="I39" s="560"/>
      <c r="J39" s="560"/>
      <c r="K39" s="560"/>
      <c r="L39" s="560"/>
      <c r="M39" s="560"/>
      <c r="N39" s="560"/>
      <c r="O39" s="560"/>
      <c r="P39" s="561"/>
      <c r="Q39" s="538"/>
    </row>
    <row r="40" spans="1:17" hidden="1" x14ac:dyDescent="0.25">
      <c r="A40" s="568">
        <v>11</v>
      </c>
      <c r="B40" s="569"/>
      <c r="C40" s="568"/>
      <c r="D40" s="568"/>
      <c r="E40" s="568"/>
      <c r="F40" s="568"/>
      <c r="G40" s="568"/>
      <c r="H40" s="571"/>
      <c r="I40" s="560"/>
      <c r="J40" s="560"/>
      <c r="K40" s="560"/>
      <c r="L40" s="560"/>
      <c r="M40" s="560"/>
      <c r="N40" s="560"/>
      <c r="O40" s="560"/>
      <c r="P40" s="561"/>
      <c r="Q40" s="538"/>
    </row>
    <row r="41" spans="1:17" hidden="1" x14ac:dyDescent="0.25">
      <c r="A41" s="568">
        <v>11</v>
      </c>
      <c r="B41" s="569"/>
      <c r="C41" s="568"/>
      <c r="D41" s="568"/>
      <c r="E41" s="568"/>
      <c r="F41" s="568"/>
      <c r="G41" s="568"/>
      <c r="H41" s="571"/>
      <c r="I41" s="560"/>
      <c r="J41" s="560"/>
      <c r="K41" s="560"/>
      <c r="L41" s="560"/>
      <c r="M41" s="560"/>
      <c r="N41" s="560"/>
      <c r="O41" s="560"/>
      <c r="P41" s="561" t="s">
        <v>423</v>
      </c>
      <c r="Q41" s="538"/>
    </row>
    <row r="42" spans="1:17" hidden="1" x14ac:dyDescent="0.25">
      <c r="A42" s="568">
        <v>11</v>
      </c>
      <c r="B42" s="569"/>
      <c r="C42" s="568"/>
      <c r="D42" s="568"/>
      <c r="E42" s="568"/>
      <c r="F42" s="568"/>
      <c r="G42" s="568"/>
      <c r="H42" s="571"/>
      <c r="I42" s="560"/>
      <c r="J42" s="560"/>
      <c r="K42" s="560"/>
      <c r="L42" s="560"/>
      <c r="M42" s="560"/>
      <c r="N42" s="560"/>
      <c r="O42" s="560"/>
      <c r="P42" s="561" t="s">
        <v>423</v>
      </c>
      <c r="Q42" s="538"/>
    </row>
    <row r="43" spans="1:17" hidden="1" x14ac:dyDescent="0.25">
      <c r="A43" s="568">
        <v>11</v>
      </c>
      <c r="B43" s="569"/>
      <c r="C43" s="568"/>
      <c r="D43" s="568"/>
      <c r="E43" s="568"/>
      <c r="F43" s="568"/>
      <c r="G43" s="568"/>
      <c r="H43" s="571"/>
      <c r="I43" s="560"/>
      <c r="J43" s="560"/>
      <c r="K43" s="560"/>
      <c r="L43" s="560"/>
      <c r="M43" s="560"/>
      <c r="N43" s="560"/>
      <c r="O43" s="560"/>
      <c r="P43" s="561" t="s">
        <v>423</v>
      </c>
      <c r="Q43" s="538"/>
    </row>
    <row r="44" spans="1:17" hidden="1" x14ac:dyDescent="0.25">
      <c r="A44" s="568">
        <v>11</v>
      </c>
      <c r="B44" s="569"/>
      <c r="C44" s="568"/>
      <c r="D44" s="568"/>
      <c r="E44" s="568"/>
      <c r="F44" s="568"/>
      <c r="G44" s="568"/>
      <c r="H44" s="571"/>
      <c r="I44" s="560"/>
      <c r="J44" s="560"/>
      <c r="K44" s="560"/>
      <c r="L44" s="560"/>
      <c r="M44" s="560"/>
      <c r="N44" s="560"/>
      <c r="O44" s="560"/>
      <c r="P44" s="561"/>
      <c r="Q44" s="538"/>
    </row>
    <row r="45" spans="1:17" hidden="1" x14ac:dyDescent="0.25">
      <c r="A45" s="568">
        <v>11</v>
      </c>
      <c r="B45" s="569"/>
      <c r="C45" s="568"/>
      <c r="D45" s="568"/>
      <c r="E45" s="568"/>
      <c r="F45" s="568"/>
      <c r="G45" s="568"/>
      <c r="H45" s="571"/>
      <c r="I45" s="560"/>
      <c r="J45" s="560"/>
      <c r="K45" s="560"/>
      <c r="L45" s="560"/>
      <c r="M45" s="560"/>
      <c r="N45" s="560"/>
      <c r="O45" s="560"/>
      <c r="P45" s="561"/>
      <c r="Q45" s="538"/>
    </row>
    <row r="46" spans="1:17" hidden="1" x14ac:dyDescent="0.25">
      <c r="A46" s="568">
        <v>11</v>
      </c>
      <c r="B46" s="569"/>
      <c r="C46" s="568"/>
      <c r="D46" s="568"/>
      <c r="E46" s="568"/>
      <c r="F46" s="568"/>
      <c r="G46" s="568"/>
      <c r="H46" s="571"/>
      <c r="I46" s="560"/>
      <c r="J46" s="560"/>
      <c r="K46" s="560"/>
      <c r="L46" s="560"/>
      <c r="M46" s="560"/>
      <c r="N46" s="560"/>
      <c r="O46" s="560"/>
      <c r="P46" s="561"/>
      <c r="Q46" s="538"/>
    </row>
    <row r="47" spans="1:17" hidden="1" x14ac:dyDescent="0.25">
      <c r="A47" s="568">
        <v>11</v>
      </c>
      <c r="B47" s="569"/>
      <c r="C47" s="568"/>
      <c r="D47" s="568"/>
      <c r="E47" s="568"/>
      <c r="F47" s="568"/>
      <c r="G47" s="568"/>
      <c r="H47" s="571"/>
      <c r="I47" s="560"/>
      <c r="J47" s="560"/>
      <c r="K47" s="560"/>
      <c r="L47" s="560"/>
      <c r="M47" s="560"/>
      <c r="N47" s="560"/>
      <c r="O47" s="560"/>
      <c r="P47" s="561" t="s">
        <v>423</v>
      </c>
      <c r="Q47" s="538"/>
    </row>
    <row r="48" spans="1:17" hidden="1" x14ac:dyDescent="0.25">
      <c r="A48" s="568">
        <v>11</v>
      </c>
      <c r="B48" s="569"/>
      <c r="C48" s="568"/>
      <c r="D48" s="568"/>
      <c r="E48" s="568"/>
      <c r="F48" s="568"/>
      <c r="G48" s="568"/>
      <c r="H48" s="571"/>
      <c r="I48" s="560"/>
      <c r="J48" s="560"/>
      <c r="K48" s="560"/>
      <c r="L48" s="560"/>
      <c r="M48" s="560"/>
      <c r="N48" s="560"/>
      <c r="O48" s="560"/>
      <c r="P48" s="561" t="s">
        <v>423</v>
      </c>
      <c r="Q48" s="538"/>
    </row>
    <row r="49" spans="1:17" hidden="1" x14ac:dyDescent="0.25">
      <c r="A49" s="568">
        <v>11</v>
      </c>
      <c r="B49" s="569"/>
      <c r="C49" s="568"/>
      <c r="D49" s="568"/>
      <c r="E49" s="568"/>
      <c r="F49" s="568"/>
      <c r="G49" s="568"/>
      <c r="H49" s="571"/>
      <c r="I49" s="560"/>
      <c r="J49" s="560"/>
      <c r="K49" s="560"/>
      <c r="L49" s="560"/>
      <c r="M49" s="560"/>
      <c r="N49" s="560"/>
      <c r="O49" s="560"/>
      <c r="P49" s="561"/>
      <c r="Q49" s="538"/>
    </row>
    <row r="50" spans="1:17" hidden="1" x14ac:dyDescent="0.25">
      <c r="A50" s="568">
        <v>11</v>
      </c>
      <c r="B50" s="569"/>
      <c r="C50" s="568"/>
      <c r="D50" s="568"/>
      <c r="E50" s="568"/>
      <c r="F50" s="568"/>
      <c r="G50" s="568"/>
      <c r="H50" s="571"/>
      <c r="I50" s="560"/>
      <c r="J50" s="560"/>
      <c r="K50" s="560"/>
      <c r="L50" s="560"/>
      <c r="M50" s="560"/>
      <c r="N50" s="560"/>
      <c r="O50" s="560"/>
      <c r="P50" s="561"/>
      <c r="Q50" s="538"/>
    </row>
    <row r="51" spans="1:17" hidden="1" x14ac:dyDescent="0.25">
      <c r="A51" s="568">
        <v>11</v>
      </c>
      <c r="B51" s="569"/>
      <c r="C51" s="568"/>
      <c r="D51" s="568"/>
      <c r="E51" s="568"/>
      <c r="F51" s="568"/>
      <c r="G51" s="568"/>
      <c r="H51" s="571"/>
      <c r="I51" s="560"/>
      <c r="J51" s="560"/>
      <c r="K51" s="560"/>
      <c r="L51" s="560"/>
      <c r="M51" s="560"/>
      <c r="N51" s="560"/>
      <c r="O51" s="560"/>
      <c r="P51" s="561" t="s">
        <v>423</v>
      </c>
      <c r="Q51" s="538"/>
    </row>
    <row r="52" spans="1:17" hidden="1" x14ac:dyDescent="0.25">
      <c r="A52" s="568">
        <v>11</v>
      </c>
      <c r="B52" s="569"/>
      <c r="C52" s="568"/>
      <c r="D52" s="568"/>
      <c r="E52" s="568"/>
      <c r="F52" s="568"/>
      <c r="G52" s="568"/>
      <c r="H52" s="571"/>
      <c r="I52" s="560"/>
      <c r="J52" s="560"/>
      <c r="K52" s="560"/>
      <c r="L52" s="560"/>
      <c r="M52" s="560"/>
      <c r="N52" s="560"/>
      <c r="O52" s="560"/>
      <c r="P52" s="561" t="s">
        <v>423</v>
      </c>
      <c r="Q52" s="538"/>
    </row>
    <row r="53" spans="1:17" hidden="1" x14ac:dyDescent="0.25">
      <c r="A53" s="568">
        <v>11</v>
      </c>
      <c r="B53" s="569"/>
      <c r="C53" s="568"/>
      <c r="D53" s="568"/>
      <c r="E53" s="568"/>
      <c r="F53" s="568"/>
      <c r="G53" s="568"/>
      <c r="H53" s="571"/>
      <c r="I53" s="560"/>
      <c r="J53" s="560"/>
      <c r="K53" s="560"/>
      <c r="L53" s="560"/>
      <c r="M53" s="560"/>
      <c r="N53" s="560"/>
      <c r="O53" s="560"/>
      <c r="P53" s="561"/>
      <c r="Q53" s="538"/>
    </row>
    <row r="54" spans="1:17" hidden="1" x14ac:dyDescent="0.25">
      <c r="A54" s="568">
        <v>11</v>
      </c>
      <c r="B54" s="569"/>
      <c r="C54" s="568"/>
      <c r="D54" s="568"/>
      <c r="E54" s="568"/>
      <c r="F54" s="568"/>
      <c r="G54" s="568"/>
      <c r="H54" s="571"/>
      <c r="I54" s="560"/>
      <c r="J54" s="560"/>
      <c r="K54" s="560"/>
      <c r="L54" s="560"/>
      <c r="M54" s="560"/>
      <c r="N54" s="560"/>
      <c r="O54" s="560"/>
      <c r="P54" s="561" t="s">
        <v>423</v>
      </c>
      <c r="Q54" s="538"/>
    </row>
    <row r="55" spans="1:17" hidden="1" x14ac:dyDescent="0.25">
      <c r="A55" s="568">
        <v>11</v>
      </c>
      <c r="B55" s="569"/>
      <c r="C55" s="568"/>
      <c r="D55" s="568"/>
      <c r="E55" s="568"/>
      <c r="F55" s="568"/>
      <c r="G55" s="568"/>
      <c r="H55" s="571"/>
      <c r="I55" s="560"/>
      <c r="J55" s="560"/>
      <c r="K55" s="560"/>
      <c r="L55" s="560"/>
      <c r="M55" s="560"/>
      <c r="N55" s="560"/>
      <c r="O55" s="560"/>
      <c r="P55" s="561" t="s">
        <v>423</v>
      </c>
      <c r="Q55" s="538"/>
    </row>
    <row r="56" spans="1:17" ht="60" x14ac:dyDescent="0.25">
      <c r="A56" s="568">
        <v>12</v>
      </c>
      <c r="B56" s="569" t="s">
        <v>424</v>
      </c>
      <c r="C56" s="568" t="s">
        <v>417</v>
      </c>
      <c r="D56" s="568">
        <v>8</v>
      </c>
      <c r="E56" s="574" t="s">
        <v>425</v>
      </c>
      <c r="F56" s="570" t="s">
        <v>422</v>
      </c>
      <c r="G56" s="568"/>
      <c r="H56" s="571">
        <f>5.3*D56</f>
        <v>42.4</v>
      </c>
      <c r="I56" s="560"/>
      <c r="J56" s="560"/>
      <c r="K56" s="560"/>
      <c r="L56" s="560"/>
      <c r="M56" s="560"/>
      <c r="N56" s="560"/>
      <c r="O56" s="560"/>
      <c r="P56" s="561"/>
      <c r="Q56" s="538"/>
    </row>
    <row r="57" spans="1:17" ht="45" x14ac:dyDescent="0.25">
      <c r="A57" s="568">
        <v>13</v>
      </c>
      <c r="B57" s="569" t="s">
        <v>426</v>
      </c>
      <c r="C57" s="568" t="s">
        <v>417</v>
      </c>
      <c r="D57" s="568">
        <v>8</v>
      </c>
      <c r="E57" s="568" t="s">
        <v>427</v>
      </c>
      <c r="F57" s="570" t="s">
        <v>428</v>
      </c>
      <c r="G57" s="568"/>
      <c r="H57" s="571">
        <f>3.8*D57</f>
        <v>30.4</v>
      </c>
      <c r="I57" s="560"/>
      <c r="J57" s="560"/>
      <c r="K57" s="560"/>
      <c r="L57" s="560"/>
      <c r="M57" s="560"/>
      <c r="N57" s="560"/>
      <c r="O57" s="560"/>
      <c r="P57" s="561"/>
      <c r="Q57" s="538"/>
    </row>
    <row r="58" spans="1:17" ht="45" x14ac:dyDescent="0.25">
      <c r="A58" s="568">
        <v>14</v>
      </c>
      <c r="B58" s="569" t="s">
        <v>429</v>
      </c>
      <c r="C58" s="568" t="s">
        <v>430</v>
      </c>
      <c r="D58" s="568">
        <v>8</v>
      </c>
      <c r="E58" s="568" t="s">
        <v>431</v>
      </c>
      <c r="F58" s="570" t="s">
        <v>432</v>
      </c>
      <c r="G58" s="568"/>
      <c r="H58" s="571">
        <f>18.2*D58</f>
        <v>145.6</v>
      </c>
      <c r="I58" s="560"/>
      <c r="J58" s="560"/>
      <c r="K58" s="560"/>
      <c r="L58" s="560"/>
      <c r="M58" s="560"/>
      <c r="N58" s="560"/>
      <c r="O58" s="560"/>
      <c r="P58" s="561"/>
      <c r="Q58" s="538"/>
    </row>
    <row r="59" spans="1:17" ht="45" x14ac:dyDescent="0.25">
      <c r="A59" s="568">
        <v>15</v>
      </c>
      <c r="B59" s="569" t="s">
        <v>433</v>
      </c>
      <c r="C59" s="568" t="s">
        <v>434</v>
      </c>
      <c r="D59" s="568">
        <v>6</v>
      </c>
      <c r="E59" s="568" t="s">
        <v>435</v>
      </c>
      <c r="F59" s="570" t="s">
        <v>436</v>
      </c>
      <c r="G59" s="568"/>
      <c r="H59" s="571">
        <f>45.7*D59</f>
        <v>274.20000000000005</v>
      </c>
      <c r="I59" s="560"/>
      <c r="J59" s="560"/>
      <c r="K59" s="560"/>
      <c r="L59" s="560"/>
      <c r="M59" s="560"/>
      <c r="N59" s="560"/>
      <c r="O59" s="560"/>
      <c r="P59" s="561"/>
      <c r="Q59" s="538"/>
    </row>
    <row r="60" spans="1:17" hidden="1" x14ac:dyDescent="0.25">
      <c r="A60" s="568"/>
      <c r="B60" s="569"/>
      <c r="C60" s="568"/>
      <c r="D60" s="568"/>
      <c r="E60" s="568"/>
      <c r="F60" s="568"/>
      <c r="G60" s="568"/>
      <c r="H60" s="571"/>
      <c r="I60" s="560"/>
      <c r="J60" s="560"/>
      <c r="K60" s="560"/>
      <c r="L60" s="560"/>
      <c r="M60" s="560"/>
      <c r="N60" s="560"/>
      <c r="O60" s="560"/>
      <c r="P60" s="561"/>
      <c r="Q60" s="538"/>
    </row>
    <row r="61" spans="1:17" x14ac:dyDescent="0.25">
      <c r="A61" s="576">
        <v>16</v>
      </c>
      <c r="B61" s="577" t="s">
        <v>437</v>
      </c>
      <c r="C61" s="576"/>
      <c r="D61" s="576"/>
      <c r="E61" s="576"/>
      <c r="F61" s="576"/>
      <c r="G61" s="576"/>
      <c r="H61" s="578">
        <f>H38+H39+H56+H57+H58+H59</f>
        <v>842.19999999999993</v>
      </c>
      <c r="I61" s="560"/>
      <c r="J61" s="560"/>
      <c r="K61" s="560"/>
      <c r="L61" s="560"/>
      <c r="M61" s="560"/>
      <c r="N61" s="560"/>
      <c r="O61" s="560"/>
      <c r="P61" s="561"/>
      <c r="Q61" s="538"/>
    </row>
    <row r="62" spans="1:17" x14ac:dyDescent="0.25">
      <c r="A62" s="568"/>
      <c r="B62" s="576" t="s">
        <v>282</v>
      </c>
      <c r="C62" s="568"/>
      <c r="D62" s="568"/>
      <c r="E62" s="568"/>
      <c r="F62" s="568"/>
      <c r="G62" s="568"/>
      <c r="H62" s="571"/>
      <c r="I62" s="560"/>
      <c r="J62" s="560"/>
      <c r="K62" s="560"/>
      <c r="L62" s="560"/>
      <c r="M62" s="560"/>
      <c r="N62" s="560"/>
      <c r="O62" s="560"/>
      <c r="P62" s="561"/>
      <c r="Q62" s="538"/>
    </row>
    <row r="63" spans="1:17" ht="60" x14ac:dyDescent="0.25">
      <c r="A63" s="568">
        <v>17</v>
      </c>
      <c r="B63" s="569" t="s">
        <v>384</v>
      </c>
      <c r="C63" s="568" t="s">
        <v>385</v>
      </c>
      <c r="D63" s="568">
        <v>3.2</v>
      </c>
      <c r="E63" s="568" t="s">
        <v>438</v>
      </c>
      <c r="F63" s="570" t="s">
        <v>439</v>
      </c>
      <c r="G63" s="568"/>
      <c r="H63" s="571">
        <f>18.5*D63</f>
        <v>59.2</v>
      </c>
      <c r="I63" s="560"/>
      <c r="J63" s="560"/>
      <c r="K63" s="560"/>
      <c r="L63" s="560"/>
      <c r="M63" s="560"/>
      <c r="N63" s="560"/>
      <c r="O63" s="560"/>
      <c r="P63" s="561"/>
      <c r="Q63" s="538"/>
    </row>
    <row r="64" spans="1:17" ht="75" x14ac:dyDescent="0.25">
      <c r="A64" s="568">
        <v>18</v>
      </c>
      <c r="B64" s="569" t="s">
        <v>440</v>
      </c>
      <c r="C64" s="568" t="s">
        <v>441</v>
      </c>
      <c r="D64" s="568">
        <v>8</v>
      </c>
      <c r="E64" s="568" t="s">
        <v>442</v>
      </c>
      <c r="F64" s="570" t="s">
        <v>443</v>
      </c>
      <c r="G64" s="568"/>
      <c r="H64" s="571">
        <f>9.3*D64</f>
        <v>74.400000000000006</v>
      </c>
      <c r="I64" s="560"/>
      <c r="J64" s="560"/>
      <c r="K64" s="560"/>
      <c r="L64" s="560"/>
      <c r="M64" s="560"/>
      <c r="N64" s="560"/>
      <c r="O64" s="560"/>
      <c r="P64" s="561"/>
      <c r="Q64" s="538"/>
    </row>
    <row r="65" spans="1:17" ht="120" x14ac:dyDescent="0.25">
      <c r="A65" s="568">
        <v>19</v>
      </c>
      <c r="B65" s="569" t="s">
        <v>444</v>
      </c>
      <c r="C65" s="568" t="s">
        <v>445</v>
      </c>
      <c r="D65" s="568">
        <v>1</v>
      </c>
      <c r="E65" s="568" t="s">
        <v>446</v>
      </c>
      <c r="F65" s="568" t="s">
        <v>447</v>
      </c>
      <c r="G65" s="568"/>
      <c r="H65" s="571">
        <f>500*1.25*1</f>
        <v>625</v>
      </c>
      <c r="I65" s="560"/>
      <c r="J65" s="560"/>
      <c r="K65" s="560"/>
      <c r="L65" s="560"/>
      <c r="M65" s="560"/>
      <c r="N65" s="560"/>
      <c r="O65" s="560"/>
      <c r="P65" s="561"/>
      <c r="Q65" s="538"/>
    </row>
    <row r="66" spans="1:17" ht="60" x14ac:dyDescent="0.25">
      <c r="A66" s="568">
        <v>20</v>
      </c>
      <c r="B66" s="569" t="s">
        <v>448</v>
      </c>
      <c r="C66" s="568" t="s">
        <v>166</v>
      </c>
      <c r="D66" s="580">
        <v>0.2</v>
      </c>
      <c r="E66" s="568" t="s">
        <v>449</v>
      </c>
      <c r="F66" s="570" t="s">
        <v>450</v>
      </c>
      <c r="G66" s="568"/>
      <c r="H66" s="571">
        <f>H38*0.2</f>
        <v>61.44</v>
      </c>
      <c r="I66" s="560"/>
      <c r="J66" s="560"/>
      <c r="K66" s="560"/>
      <c r="L66" s="560"/>
      <c r="M66" s="560"/>
      <c r="N66" s="560"/>
      <c r="O66" s="560"/>
      <c r="P66" s="561"/>
      <c r="Q66" s="538"/>
    </row>
    <row r="67" spans="1:17" ht="45" x14ac:dyDescent="0.25">
      <c r="A67" s="568">
        <v>21</v>
      </c>
      <c r="B67" s="569" t="s">
        <v>451</v>
      </c>
      <c r="C67" s="568" t="s">
        <v>166</v>
      </c>
      <c r="D67" s="580">
        <v>0.12</v>
      </c>
      <c r="E67" s="568" t="s">
        <v>452</v>
      </c>
      <c r="F67" s="570" t="s">
        <v>453</v>
      </c>
      <c r="G67" s="568"/>
      <c r="H67" s="571">
        <f>(H39+H56+H57)*0.12</f>
        <v>13.823999999999998</v>
      </c>
      <c r="I67" s="560"/>
      <c r="J67" s="560"/>
      <c r="K67" s="560"/>
      <c r="L67" s="560"/>
      <c r="M67" s="560"/>
      <c r="N67" s="560"/>
      <c r="O67" s="560"/>
      <c r="P67" s="561"/>
      <c r="Q67" s="538"/>
    </row>
    <row r="68" spans="1:17" ht="45" x14ac:dyDescent="0.25">
      <c r="A68" s="568">
        <v>22</v>
      </c>
      <c r="B68" s="569" t="s">
        <v>454</v>
      </c>
      <c r="C68" s="568" t="s">
        <v>166</v>
      </c>
      <c r="D68" s="580">
        <v>0.15</v>
      </c>
      <c r="E68" s="568" t="s">
        <v>455</v>
      </c>
      <c r="F68" s="570" t="s">
        <v>456</v>
      </c>
      <c r="G68" s="568"/>
      <c r="H68" s="571">
        <f>H58*0.15</f>
        <v>21.84</v>
      </c>
      <c r="I68" s="560"/>
      <c r="J68" s="560"/>
      <c r="K68" s="560"/>
      <c r="L68" s="560"/>
      <c r="M68" s="560"/>
      <c r="N68" s="560"/>
      <c r="O68" s="560"/>
      <c r="P68" s="561"/>
      <c r="Q68" s="538"/>
    </row>
    <row r="69" spans="1:17" ht="45" x14ac:dyDescent="0.25">
      <c r="A69" s="568">
        <v>23</v>
      </c>
      <c r="B69" s="569" t="s">
        <v>457</v>
      </c>
      <c r="C69" s="568" t="s">
        <v>286</v>
      </c>
      <c r="D69" s="568">
        <v>1</v>
      </c>
      <c r="E69" s="574" t="s">
        <v>458</v>
      </c>
      <c r="F69" s="570" t="s">
        <v>459</v>
      </c>
      <c r="G69" s="568"/>
      <c r="H69" s="571">
        <f>(H68+H67+H66+H65+H64+H63)*0.18</f>
        <v>154.02672000000001</v>
      </c>
      <c r="I69" s="560"/>
      <c r="J69" s="560"/>
      <c r="K69" s="560"/>
      <c r="L69" s="560"/>
      <c r="M69" s="560"/>
      <c r="N69" s="560"/>
      <c r="O69" s="560"/>
      <c r="P69" s="561"/>
      <c r="Q69" s="538"/>
    </row>
    <row r="70" spans="1:17" x14ac:dyDescent="0.25">
      <c r="A70" s="576">
        <v>24</v>
      </c>
      <c r="B70" s="577" t="s">
        <v>288</v>
      </c>
      <c r="C70" s="576"/>
      <c r="D70" s="576"/>
      <c r="E70" s="576"/>
      <c r="F70" s="576"/>
      <c r="G70" s="576"/>
      <c r="H70" s="578">
        <f>H63+H64+H65+H66+H67+H68+H69</f>
        <v>1009.73072</v>
      </c>
      <c r="I70" s="560"/>
      <c r="J70" s="560"/>
      <c r="K70" s="560"/>
      <c r="L70" s="560"/>
      <c r="M70" s="560"/>
      <c r="N70" s="560"/>
      <c r="O70" s="560"/>
      <c r="P70" s="561"/>
      <c r="Q70" s="538"/>
    </row>
    <row r="71" spans="1:17" x14ac:dyDescent="0.25">
      <c r="A71" s="568">
        <v>25</v>
      </c>
      <c r="B71" s="577" t="s">
        <v>363</v>
      </c>
      <c r="C71" s="568"/>
      <c r="D71" s="568"/>
      <c r="E71" s="568"/>
      <c r="F71" s="568"/>
      <c r="G71" s="568"/>
      <c r="H71" s="578">
        <f>H70+H61+H36+H31</f>
        <v>2998.22028</v>
      </c>
      <c r="I71" s="560"/>
      <c r="J71" s="560"/>
      <c r="K71" s="560"/>
      <c r="L71" s="560"/>
      <c r="M71" s="560"/>
      <c r="N71" s="560"/>
      <c r="O71" s="560"/>
      <c r="P71" s="561"/>
      <c r="Q71" s="538"/>
    </row>
    <row r="72" spans="1:17" ht="45" x14ac:dyDescent="0.25">
      <c r="A72" s="568">
        <v>26</v>
      </c>
      <c r="B72" s="577" t="s">
        <v>522</v>
      </c>
      <c r="C72" s="568"/>
      <c r="D72" s="568"/>
      <c r="E72" s="568"/>
      <c r="F72" s="570" t="s">
        <v>521</v>
      </c>
      <c r="G72" s="568"/>
      <c r="H72" s="578">
        <f>H71*44.21</f>
        <v>132551.31857880001</v>
      </c>
      <c r="I72" s="560"/>
      <c r="J72" s="560"/>
      <c r="K72" s="560"/>
      <c r="L72" s="560"/>
      <c r="M72" s="560"/>
      <c r="N72" s="560"/>
      <c r="O72" s="560"/>
      <c r="P72" s="561"/>
      <c r="Q72" s="538"/>
    </row>
    <row r="73" spans="1:17" ht="15.75" x14ac:dyDescent="0.25">
      <c r="A73" s="568">
        <v>27</v>
      </c>
      <c r="B73" s="577" t="s">
        <v>460</v>
      </c>
      <c r="C73" s="568"/>
      <c r="D73" s="568"/>
      <c r="E73" s="568"/>
      <c r="F73" s="568"/>
      <c r="G73" s="568"/>
      <c r="H73" s="581">
        <f>H72</f>
        <v>132551.31857880001</v>
      </c>
      <c r="I73" s="560"/>
      <c r="J73" s="560"/>
      <c r="K73" s="560"/>
      <c r="L73" s="560"/>
      <c r="M73" s="560"/>
      <c r="N73" s="560"/>
      <c r="O73" s="560"/>
      <c r="P73" s="561"/>
      <c r="Q73" s="538"/>
    </row>
    <row r="74" spans="1:17" x14ac:dyDescent="0.25">
      <c r="A74" s="582"/>
      <c r="B74" s="583"/>
      <c r="C74" s="583"/>
      <c r="D74" s="583"/>
      <c r="E74" s="583"/>
      <c r="F74" s="584"/>
      <c r="G74" s="584"/>
      <c r="H74" s="584"/>
      <c r="I74" s="560"/>
      <c r="J74" s="560"/>
      <c r="K74" s="560"/>
      <c r="L74" s="560"/>
      <c r="M74" s="560"/>
      <c r="N74" s="560"/>
      <c r="O74" s="560"/>
      <c r="P74" s="561"/>
    </row>
    <row r="75" spans="1:17" x14ac:dyDescent="0.25">
      <c r="A75" s="582"/>
      <c r="B75" s="583"/>
      <c r="C75" s="583"/>
      <c r="D75" s="583"/>
      <c r="E75" s="583"/>
      <c r="F75" s="584"/>
      <c r="G75" s="584"/>
      <c r="H75" s="584"/>
      <c r="I75" s="560"/>
      <c r="J75" s="560"/>
      <c r="K75" s="560"/>
      <c r="L75" s="560"/>
      <c r="M75" s="560"/>
      <c r="N75" s="560"/>
      <c r="O75" s="560"/>
      <c r="P75" s="561"/>
    </row>
    <row r="76" spans="1:17" x14ac:dyDescent="0.25">
      <c r="I76" s="560"/>
      <c r="J76" s="560"/>
      <c r="K76" s="560"/>
      <c r="L76" s="560"/>
      <c r="M76" s="560"/>
      <c r="N76" s="560"/>
      <c r="O76" s="560"/>
      <c r="P76" s="561"/>
    </row>
    <row r="77" spans="1:17" ht="15.75" x14ac:dyDescent="0.25">
      <c r="A77" s="585"/>
      <c r="B77" t="s">
        <v>461</v>
      </c>
      <c r="I77" s="560"/>
      <c r="J77" s="560"/>
      <c r="K77" s="560"/>
      <c r="L77" s="560"/>
      <c r="M77" s="560"/>
      <c r="N77" s="560"/>
      <c r="O77" s="560"/>
      <c r="P77" s="561"/>
    </row>
    <row r="78" spans="1:17" ht="15.75" x14ac:dyDescent="0.25">
      <c r="A78" s="586"/>
      <c r="I78" s="560"/>
      <c r="J78" s="560"/>
      <c r="K78" s="560"/>
      <c r="L78" s="560"/>
      <c r="M78" s="560"/>
      <c r="N78" s="560"/>
      <c r="O78" s="560"/>
      <c r="P78" s="561"/>
    </row>
    <row r="79" spans="1:17" x14ac:dyDescent="0.25">
      <c r="I79" s="560"/>
      <c r="J79" s="560"/>
      <c r="K79" s="560"/>
      <c r="L79" s="560"/>
      <c r="M79" s="560"/>
      <c r="N79" s="560"/>
      <c r="O79" s="560"/>
      <c r="P79" s="561"/>
    </row>
    <row r="80" spans="1:17" x14ac:dyDescent="0.25">
      <c r="B80" t="s">
        <v>294</v>
      </c>
      <c r="I80" s="560"/>
      <c r="J80" s="560"/>
      <c r="K80" s="560"/>
      <c r="L80" s="560"/>
      <c r="M80" s="560"/>
      <c r="N80" s="560"/>
      <c r="O80" s="560"/>
      <c r="P80" s="561"/>
    </row>
    <row r="81" spans="9:16" x14ac:dyDescent="0.25">
      <c r="I81" s="560"/>
      <c r="J81" s="560"/>
      <c r="K81" s="560"/>
      <c r="L81" s="560"/>
      <c r="M81" s="560"/>
      <c r="N81" s="560"/>
      <c r="O81" s="560"/>
      <c r="P81" s="561"/>
    </row>
    <row r="82" spans="9:16" x14ac:dyDescent="0.25">
      <c r="I82" s="560"/>
      <c r="J82" s="560"/>
      <c r="K82" s="560"/>
      <c r="L82" s="560"/>
      <c r="M82" s="560"/>
      <c r="N82" s="560"/>
      <c r="O82" s="560"/>
      <c r="P82" s="561"/>
    </row>
    <row r="83" spans="9:16" x14ac:dyDescent="0.25">
      <c r="I83" s="560"/>
      <c r="J83" s="560"/>
      <c r="K83" s="560"/>
      <c r="L83" s="560"/>
      <c r="M83" s="560"/>
      <c r="N83" s="560"/>
      <c r="O83" s="560"/>
      <c r="P83" s="561"/>
    </row>
    <row r="84" spans="9:16" x14ac:dyDescent="0.25">
      <c r="I84" s="560"/>
      <c r="J84" s="560"/>
      <c r="K84" s="560"/>
      <c r="L84" s="560"/>
      <c r="M84" s="560"/>
      <c r="N84" s="560"/>
      <c r="O84" s="560"/>
      <c r="P84" s="561"/>
    </row>
    <row r="85" spans="9:16" x14ac:dyDescent="0.25">
      <c r="I85" s="560"/>
      <c r="J85" s="560"/>
      <c r="K85" s="560"/>
      <c r="L85" s="560"/>
      <c r="M85" s="560"/>
      <c r="N85" s="560"/>
      <c r="O85" s="560"/>
      <c r="P85" s="561"/>
    </row>
    <row r="86" spans="9:16" x14ac:dyDescent="0.25">
      <c r="I86" s="560"/>
      <c r="J86" s="560"/>
      <c r="K86" s="560"/>
      <c r="L86" s="560"/>
      <c r="M86" s="560"/>
      <c r="N86" s="560"/>
      <c r="O86" s="560"/>
      <c r="P86" s="561"/>
    </row>
    <row r="87" spans="9:16" x14ac:dyDescent="0.25">
      <c r="I87" s="560"/>
      <c r="J87" s="560"/>
      <c r="K87" s="560"/>
      <c r="L87" s="560"/>
      <c r="M87" s="560"/>
      <c r="N87" s="560"/>
      <c r="O87" s="560"/>
      <c r="P87" s="561"/>
    </row>
    <row r="88" spans="9:16" x14ac:dyDescent="0.25">
      <c r="I88" s="560"/>
      <c r="J88" s="560"/>
      <c r="K88" s="560"/>
      <c r="L88" s="560"/>
      <c r="M88" s="560"/>
      <c r="N88" s="560"/>
      <c r="O88" s="560"/>
      <c r="P88" s="561"/>
    </row>
    <row r="89" spans="9:16" x14ac:dyDescent="0.25">
      <c r="I89" s="560"/>
      <c r="J89" s="560"/>
      <c r="K89" s="560"/>
      <c r="L89" s="560"/>
      <c r="M89" s="560"/>
      <c r="N89" s="560"/>
      <c r="O89" s="560"/>
      <c r="P89" s="561"/>
    </row>
    <row r="90" spans="9:16" x14ac:dyDescent="0.25">
      <c r="I90" s="560"/>
      <c r="J90" s="560"/>
      <c r="K90" s="560"/>
      <c r="L90" s="560"/>
      <c r="M90" s="560"/>
      <c r="N90" s="560"/>
      <c r="O90" s="560"/>
      <c r="P90" s="561"/>
    </row>
    <row r="91" spans="9:16" x14ac:dyDescent="0.25">
      <c r="I91" s="560"/>
      <c r="J91" s="560"/>
      <c r="K91" s="560"/>
      <c r="L91" s="560"/>
      <c r="M91" s="560"/>
      <c r="N91" s="560"/>
      <c r="O91" s="560"/>
      <c r="P91" s="561"/>
    </row>
    <row r="92" spans="9:16" x14ac:dyDescent="0.25">
      <c r="I92" s="560"/>
      <c r="J92" s="560"/>
      <c r="K92" s="560"/>
      <c r="L92" s="560"/>
      <c r="M92" s="560"/>
      <c r="N92" s="560"/>
      <c r="O92" s="560"/>
      <c r="P92" s="561"/>
    </row>
    <row r="93" spans="9:16" x14ac:dyDescent="0.25">
      <c r="I93" s="560"/>
      <c r="J93" s="560"/>
      <c r="K93" s="560"/>
      <c r="L93" s="560"/>
      <c r="M93" s="560"/>
      <c r="N93" s="560"/>
      <c r="O93" s="560"/>
      <c r="P93" s="561"/>
    </row>
    <row r="94" spans="9:16" x14ac:dyDescent="0.25">
      <c r="I94" s="560"/>
      <c r="J94" s="560"/>
      <c r="K94" s="560"/>
      <c r="L94" s="560"/>
      <c r="M94" s="560"/>
      <c r="N94" s="560"/>
      <c r="O94" s="560"/>
      <c r="P94" s="561"/>
    </row>
    <row r="95" spans="9:16" x14ac:dyDescent="0.25">
      <c r="I95" s="560"/>
      <c r="J95" s="560"/>
      <c r="K95" s="560"/>
      <c r="L95" s="560"/>
      <c r="M95" s="560"/>
      <c r="N95" s="560"/>
      <c r="O95" s="560"/>
      <c r="P95" s="561"/>
    </row>
    <row r="96" spans="9:16" x14ac:dyDescent="0.25">
      <c r="I96" s="560"/>
      <c r="J96" s="560"/>
      <c r="K96" s="560"/>
      <c r="L96" s="560"/>
      <c r="M96" s="560"/>
      <c r="N96" s="560"/>
      <c r="O96" s="560"/>
      <c r="P96" s="561"/>
    </row>
    <row r="97" spans="9:16" x14ac:dyDescent="0.25">
      <c r="I97" s="560"/>
      <c r="J97" s="560"/>
      <c r="K97" s="560"/>
      <c r="L97" s="560"/>
      <c r="M97" s="560"/>
      <c r="N97" s="560"/>
      <c r="O97" s="560"/>
      <c r="P97" s="561"/>
    </row>
    <row r="98" spans="9:16" x14ac:dyDescent="0.25">
      <c r="I98" s="560"/>
      <c r="J98" s="560"/>
      <c r="K98" s="560"/>
      <c r="L98" s="560"/>
      <c r="M98" s="560"/>
      <c r="N98" s="560"/>
      <c r="O98" s="560"/>
      <c r="P98" s="561"/>
    </row>
    <row r="99" spans="9:16" x14ac:dyDescent="0.25">
      <c r="I99" s="560"/>
      <c r="J99" s="560"/>
      <c r="K99" s="560"/>
      <c r="L99" s="560"/>
      <c r="M99" s="560"/>
      <c r="N99" s="560"/>
      <c r="O99" s="560"/>
      <c r="P99" s="561"/>
    </row>
    <row r="100" spans="9:16" x14ac:dyDescent="0.25">
      <c r="I100" s="560"/>
      <c r="J100" s="560"/>
      <c r="K100" s="560"/>
      <c r="L100" s="560"/>
      <c r="M100" s="560"/>
      <c r="N100" s="560"/>
      <c r="O100" s="560"/>
      <c r="P100" s="561"/>
    </row>
    <row r="101" spans="9:16" x14ac:dyDescent="0.25">
      <c r="I101" s="560"/>
      <c r="J101" s="560"/>
      <c r="K101" s="560"/>
      <c r="L101" s="560"/>
      <c r="M101" s="560"/>
      <c r="N101" s="560"/>
      <c r="O101" s="560"/>
      <c r="P101" s="561"/>
    </row>
    <row r="102" spans="9:16" x14ac:dyDescent="0.25">
      <c r="I102" s="560"/>
      <c r="J102" s="560"/>
      <c r="K102" s="560"/>
      <c r="L102" s="560"/>
      <c r="M102" s="560"/>
      <c r="N102" s="560"/>
      <c r="O102" s="560"/>
      <c r="P102" s="561"/>
    </row>
    <row r="103" spans="9:16" x14ac:dyDescent="0.25">
      <c r="I103" s="560"/>
      <c r="J103" s="560"/>
      <c r="K103" s="560"/>
      <c r="L103" s="560"/>
      <c r="M103" s="560"/>
      <c r="N103" s="560"/>
      <c r="O103" s="560"/>
      <c r="P103" s="561"/>
    </row>
    <row r="104" spans="9:16" x14ac:dyDescent="0.25">
      <c r="I104" s="560"/>
      <c r="J104" s="560"/>
      <c r="K104" s="560"/>
      <c r="L104" s="560"/>
      <c r="M104" s="560"/>
      <c r="N104" s="560"/>
      <c r="O104" s="560"/>
      <c r="P104" s="561"/>
    </row>
    <row r="105" spans="9:16" x14ac:dyDescent="0.25">
      <c r="I105" s="560"/>
      <c r="J105" s="560"/>
      <c r="K105" s="560"/>
      <c r="L105" s="560"/>
      <c r="M105" s="560"/>
      <c r="N105" s="560"/>
      <c r="O105" s="560"/>
      <c r="P105" s="561"/>
    </row>
    <row r="106" spans="9:16" x14ac:dyDescent="0.25">
      <c r="I106" s="560"/>
      <c r="J106" s="560"/>
      <c r="K106" s="560"/>
      <c r="L106" s="560"/>
      <c r="M106" s="560"/>
      <c r="N106" s="560"/>
      <c r="O106" s="560"/>
      <c r="P106" s="561"/>
    </row>
    <row r="107" spans="9:16" x14ac:dyDescent="0.25">
      <c r="I107" s="560"/>
      <c r="J107" s="560"/>
      <c r="K107" s="560"/>
      <c r="L107" s="560"/>
      <c r="M107" s="560"/>
      <c r="N107" s="560"/>
      <c r="O107" s="560"/>
      <c r="P107" s="561"/>
    </row>
    <row r="108" spans="9:16" x14ac:dyDescent="0.25">
      <c r="I108" s="560"/>
      <c r="J108" s="560"/>
      <c r="K108" s="560"/>
      <c r="L108" s="560"/>
      <c r="M108" s="560"/>
      <c r="N108" s="560"/>
      <c r="O108" s="560"/>
      <c r="P108" s="561"/>
    </row>
    <row r="109" spans="9:16" x14ac:dyDescent="0.25">
      <c r="I109" s="560"/>
      <c r="J109" s="560"/>
      <c r="K109" s="560"/>
      <c r="L109" s="560"/>
      <c r="M109" s="560"/>
      <c r="N109" s="560"/>
      <c r="O109" s="560"/>
      <c r="P109" s="561"/>
    </row>
    <row r="110" spans="9:16" x14ac:dyDescent="0.25">
      <c r="I110" s="560"/>
      <c r="J110" s="560"/>
      <c r="K110" s="560"/>
      <c r="L110" s="560"/>
      <c r="M110" s="560"/>
      <c r="N110" s="560"/>
      <c r="O110" s="560"/>
      <c r="P110" s="561"/>
    </row>
    <row r="111" spans="9:16" x14ac:dyDescent="0.25">
      <c r="I111" s="560"/>
      <c r="J111" s="560"/>
      <c r="K111" s="560"/>
      <c r="L111" s="560"/>
      <c r="M111" s="560"/>
      <c r="N111" s="560"/>
      <c r="O111" s="560"/>
      <c r="P111" s="561"/>
    </row>
    <row r="112" spans="9:16" x14ac:dyDescent="0.25">
      <c r="I112" s="560"/>
      <c r="J112" s="560"/>
      <c r="K112" s="560"/>
      <c r="L112" s="560"/>
      <c r="M112" s="560"/>
      <c r="N112" s="560"/>
      <c r="O112" s="560"/>
      <c r="P112" s="561"/>
    </row>
    <row r="113" spans="9:16" x14ac:dyDescent="0.25">
      <c r="I113" s="560"/>
      <c r="J113" s="560"/>
      <c r="K113" s="560"/>
      <c r="L113" s="560"/>
      <c r="M113" s="560"/>
      <c r="N113" s="560"/>
      <c r="O113" s="560"/>
      <c r="P113" s="561"/>
    </row>
    <row r="114" spans="9:16" x14ac:dyDescent="0.25">
      <c r="I114" s="560"/>
      <c r="J114" s="560"/>
      <c r="K114" s="560"/>
      <c r="L114" s="560"/>
      <c r="M114" s="560"/>
      <c r="N114" s="560"/>
      <c r="O114" s="560"/>
      <c r="P114" s="561"/>
    </row>
    <row r="115" spans="9:16" x14ac:dyDescent="0.25">
      <c r="I115" s="560"/>
      <c r="J115" s="560"/>
      <c r="K115" s="560"/>
      <c r="L115" s="560"/>
      <c r="M115" s="560"/>
      <c r="N115" s="560"/>
      <c r="O115" s="560"/>
      <c r="P115" s="561"/>
    </row>
    <row r="116" spans="9:16" x14ac:dyDescent="0.25">
      <c r="I116" s="560"/>
      <c r="J116" s="560"/>
      <c r="K116" s="560"/>
      <c r="L116" s="560"/>
      <c r="M116" s="560"/>
      <c r="N116" s="560"/>
      <c r="O116" s="560"/>
      <c r="P116" s="561"/>
    </row>
    <row r="117" spans="9:16" x14ac:dyDescent="0.25">
      <c r="I117" s="560"/>
      <c r="J117" s="560"/>
      <c r="K117" s="560"/>
      <c r="L117" s="560"/>
      <c r="M117" s="560"/>
      <c r="N117" s="560"/>
      <c r="O117" s="560"/>
      <c r="P117" s="561"/>
    </row>
    <row r="118" spans="9:16" x14ac:dyDescent="0.25">
      <c r="I118" s="560"/>
      <c r="J118" s="560"/>
      <c r="K118" s="560"/>
      <c r="L118" s="560"/>
      <c r="M118" s="560"/>
      <c r="N118" s="560"/>
      <c r="O118" s="560"/>
      <c r="P118" s="561"/>
    </row>
    <row r="119" spans="9:16" x14ac:dyDescent="0.25">
      <c r="I119" s="560"/>
      <c r="J119" s="560"/>
      <c r="K119" s="560"/>
      <c r="L119" s="560"/>
      <c r="M119" s="560"/>
      <c r="N119" s="560"/>
      <c r="O119" s="560"/>
      <c r="P119" s="561"/>
    </row>
    <row r="120" spans="9:16" x14ac:dyDescent="0.25">
      <c r="I120" s="560"/>
      <c r="J120" s="560"/>
      <c r="K120" s="560"/>
      <c r="L120" s="560"/>
      <c r="M120" s="560"/>
      <c r="N120" s="560"/>
      <c r="O120" s="560"/>
      <c r="P120" s="561"/>
    </row>
    <row r="121" spans="9:16" x14ac:dyDescent="0.25">
      <c r="I121" s="560"/>
      <c r="J121" s="560"/>
      <c r="K121" s="560"/>
      <c r="L121" s="560"/>
      <c r="M121" s="560"/>
      <c r="N121" s="560"/>
      <c r="O121" s="560"/>
      <c r="P121" s="561"/>
    </row>
    <row r="122" spans="9:16" x14ac:dyDescent="0.25">
      <c r="I122" s="560"/>
      <c r="J122" s="560"/>
      <c r="K122" s="560"/>
      <c r="L122" s="560"/>
      <c r="M122" s="560"/>
      <c r="N122" s="560"/>
      <c r="O122" s="560"/>
      <c r="P122" s="561"/>
    </row>
    <row r="123" spans="9:16" x14ac:dyDescent="0.25">
      <c r="I123" s="560"/>
      <c r="J123" s="560"/>
      <c r="K123" s="560"/>
      <c r="L123" s="560"/>
      <c r="M123" s="560"/>
      <c r="N123" s="560"/>
      <c r="O123" s="560"/>
      <c r="P123" s="561"/>
    </row>
    <row r="124" spans="9:16" x14ac:dyDescent="0.25">
      <c r="I124" s="560"/>
      <c r="J124" s="560"/>
      <c r="K124" s="560"/>
      <c r="L124" s="560"/>
      <c r="M124" s="560"/>
      <c r="N124" s="560"/>
      <c r="O124" s="560"/>
      <c r="P124" s="561"/>
    </row>
    <row r="125" spans="9:16" x14ac:dyDescent="0.25">
      <c r="I125" s="560"/>
      <c r="J125" s="560"/>
      <c r="K125" s="560"/>
      <c r="L125" s="560"/>
      <c r="M125" s="560"/>
      <c r="N125" s="560"/>
      <c r="O125" s="560"/>
      <c r="P125" s="561"/>
    </row>
    <row r="126" spans="9:16" x14ac:dyDescent="0.25">
      <c r="I126" s="560"/>
      <c r="J126" s="560"/>
      <c r="K126" s="560"/>
      <c r="L126" s="560"/>
      <c r="M126" s="560"/>
      <c r="N126" s="560"/>
      <c r="O126" s="560"/>
      <c r="P126" s="561"/>
    </row>
    <row r="127" spans="9:16" x14ac:dyDescent="0.25">
      <c r="I127" s="560"/>
      <c r="J127" s="560"/>
      <c r="K127" s="560"/>
      <c r="L127" s="560"/>
      <c r="M127" s="560"/>
      <c r="N127" s="560"/>
      <c r="O127" s="560"/>
      <c r="P127" s="561"/>
    </row>
    <row r="128" spans="9:16" x14ac:dyDescent="0.25">
      <c r="I128" s="560"/>
      <c r="J128" s="560"/>
      <c r="K128" s="560"/>
      <c r="L128" s="560"/>
      <c r="M128" s="560"/>
      <c r="N128" s="560"/>
      <c r="O128" s="560"/>
      <c r="P128" s="561"/>
    </row>
    <row r="129" spans="9:16" x14ac:dyDescent="0.25">
      <c r="I129" s="560"/>
      <c r="J129" s="560"/>
      <c r="K129" s="560"/>
      <c r="L129" s="560"/>
      <c r="M129" s="560"/>
      <c r="N129" s="560"/>
      <c r="O129" s="560"/>
      <c r="P129" s="561"/>
    </row>
    <row r="130" spans="9:16" x14ac:dyDescent="0.25">
      <c r="I130" s="560"/>
      <c r="J130" s="560"/>
      <c r="K130" s="560"/>
      <c r="L130" s="560"/>
      <c r="M130" s="560"/>
      <c r="N130" s="560"/>
      <c r="O130" s="560"/>
      <c r="P130" s="561"/>
    </row>
    <row r="131" spans="9:16" x14ac:dyDescent="0.25">
      <c r="I131" s="560"/>
      <c r="J131" s="560"/>
      <c r="K131" s="560"/>
      <c r="L131" s="560"/>
      <c r="M131" s="560"/>
      <c r="N131" s="560"/>
      <c r="O131" s="560"/>
      <c r="P131" s="561"/>
    </row>
    <row r="132" spans="9:16" x14ac:dyDescent="0.25">
      <c r="I132" s="560"/>
      <c r="J132" s="560"/>
      <c r="K132" s="560"/>
      <c r="L132" s="560"/>
      <c r="M132" s="560"/>
      <c r="N132" s="560"/>
      <c r="O132" s="560"/>
      <c r="P132" s="561"/>
    </row>
    <row r="133" spans="9:16" x14ac:dyDescent="0.25">
      <c r="I133" s="560"/>
      <c r="J133" s="560"/>
      <c r="K133" s="560"/>
      <c r="L133" s="560"/>
      <c r="M133" s="560"/>
      <c r="N133" s="560"/>
      <c r="O133" s="560"/>
      <c r="P133" s="561"/>
    </row>
    <row r="134" spans="9:16" x14ac:dyDescent="0.25">
      <c r="I134" s="560"/>
      <c r="J134" s="560"/>
      <c r="K134" s="560"/>
      <c r="L134" s="560"/>
      <c r="M134" s="560"/>
      <c r="N134" s="560"/>
      <c r="O134" s="560"/>
      <c r="P134" s="561"/>
    </row>
    <row r="135" spans="9:16" x14ac:dyDescent="0.25">
      <c r="I135" s="560"/>
      <c r="J135" s="560"/>
      <c r="K135" s="560"/>
      <c r="L135" s="560"/>
      <c r="M135" s="560"/>
      <c r="N135" s="560"/>
      <c r="O135" s="560"/>
      <c r="P135" s="561"/>
    </row>
    <row r="136" spans="9:16" x14ac:dyDescent="0.25">
      <c r="I136" s="560"/>
      <c r="J136" s="560"/>
      <c r="K136" s="560"/>
      <c r="L136" s="560"/>
      <c r="M136" s="560"/>
      <c r="N136" s="560"/>
      <c r="O136" s="560"/>
      <c r="P136" s="561"/>
    </row>
    <row r="137" spans="9:16" x14ac:dyDescent="0.25">
      <c r="I137" s="560"/>
      <c r="J137" s="560"/>
      <c r="K137" s="560"/>
      <c r="L137" s="560"/>
      <c r="M137" s="560"/>
      <c r="N137" s="560"/>
      <c r="O137" s="560"/>
      <c r="P137" s="561"/>
    </row>
    <row r="138" spans="9:16" x14ac:dyDescent="0.25">
      <c r="I138" s="560"/>
      <c r="J138" s="560"/>
      <c r="K138" s="560"/>
      <c r="L138" s="560"/>
      <c r="M138" s="560"/>
      <c r="N138" s="560"/>
      <c r="O138" s="560"/>
      <c r="P138" s="561"/>
    </row>
    <row r="139" spans="9:16" x14ac:dyDescent="0.25">
      <c r="I139" s="560"/>
      <c r="J139" s="560"/>
      <c r="K139" s="560"/>
      <c r="L139" s="560"/>
      <c r="M139" s="560"/>
      <c r="N139" s="560"/>
      <c r="O139" s="560"/>
      <c r="P139" s="561"/>
    </row>
    <row r="140" spans="9:16" x14ac:dyDescent="0.25">
      <c r="I140" s="560"/>
      <c r="J140" s="560"/>
      <c r="K140" s="560"/>
      <c r="L140" s="560"/>
      <c r="M140" s="560"/>
      <c r="N140" s="560"/>
      <c r="O140" s="560"/>
      <c r="P140" s="561"/>
    </row>
    <row r="141" spans="9:16" x14ac:dyDescent="0.25">
      <c r="I141" s="560"/>
      <c r="J141" s="560"/>
      <c r="K141" s="560"/>
      <c r="L141" s="560"/>
      <c r="M141" s="560"/>
      <c r="N141" s="560"/>
      <c r="O141" s="560"/>
      <c r="P141" s="561"/>
    </row>
    <row r="142" spans="9:16" x14ac:dyDescent="0.25">
      <c r="I142" s="560"/>
      <c r="J142" s="560"/>
      <c r="K142" s="560"/>
      <c r="L142" s="560"/>
      <c r="M142" s="560"/>
      <c r="N142" s="560"/>
      <c r="O142" s="560"/>
      <c r="P142" s="561"/>
    </row>
    <row r="143" spans="9:16" x14ac:dyDescent="0.25">
      <c r="I143" s="560"/>
      <c r="J143" s="560"/>
      <c r="K143" s="560"/>
      <c r="L143" s="560"/>
      <c r="M143" s="560"/>
      <c r="N143" s="560"/>
      <c r="O143" s="560"/>
      <c r="P143" s="561"/>
    </row>
    <row r="144" spans="9:16" x14ac:dyDescent="0.25">
      <c r="I144" s="560"/>
      <c r="J144" s="560"/>
      <c r="K144" s="560"/>
      <c r="L144" s="560"/>
      <c r="M144" s="560"/>
      <c r="N144" s="560"/>
      <c r="O144" s="560"/>
      <c r="P144" s="561"/>
    </row>
    <row r="145" spans="9:16" x14ac:dyDescent="0.25">
      <c r="I145" s="560"/>
      <c r="J145" s="560"/>
      <c r="K145" s="560"/>
      <c r="L145" s="560"/>
      <c r="M145" s="560"/>
      <c r="N145" s="560"/>
      <c r="O145" s="560"/>
      <c r="P145" s="561"/>
    </row>
    <row r="146" spans="9:16" x14ac:dyDescent="0.25">
      <c r="I146" s="560"/>
      <c r="J146" s="560"/>
      <c r="K146" s="560"/>
      <c r="L146" s="560"/>
      <c r="M146" s="560"/>
      <c r="N146" s="560"/>
      <c r="O146" s="560"/>
      <c r="P146" s="561"/>
    </row>
    <row r="147" spans="9:16" x14ac:dyDescent="0.25">
      <c r="I147" s="560"/>
      <c r="J147" s="560"/>
      <c r="K147" s="560"/>
      <c r="L147" s="560"/>
      <c r="M147" s="560"/>
      <c r="N147" s="560"/>
      <c r="O147" s="560"/>
      <c r="P147" s="561"/>
    </row>
    <row r="148" spans="9:16" x14ac:dyDescent="0.25">
      <c r="I148" s="560"/>
      <c r="J148" s="560"/>
      <c r="K148" s="560"/>
      <c r="L148" s="560"/>
      <c r="M148" s="560"/>
      <c r="N148" s="560"/>
      <c r="O148" s="560"/>
      <c r="P148" s="561"/>
    </row>
    <row r="149" spans="9:16" x14ac:dyDescent="0.25">
      <c r="I149" s="560"/>
      <c r="J149" s="560"/>
      <c r="K149" s="560"/>
      <c r="L149" s="560"/>
      <c r="M149" s="560"/>
      <c r="N149" s="560"/>
      <c r="O149" s="560"/>
      <c r="P149" s="561"/>
    </row>
    <row r="150" spans="9:16" x14ac:dyDescent="0.25">
      <c r="I150" s="560"/>
      <c r="J150" s="560"/>
      <c r="K150" s="560"/>
      <c r="L150" s="560"/>
      <c r="M150" s="560"/>
      <c r="N150" s="560"/>
      <c r="O150" s="560"/>
      <c r="P150" s="561"/>
    </row>
    <row r="151" spans="9:16" x14ac:dyDescent="0.25">
      <c r="I151" s="560"/>
      <c r="J151" s="560"/>
      <c r="K151" s="560"/>
      <c r="L151" s="560"/>
      <c r="M151" s="560"/>
      <c r="N151" s="560"/>
      <c r="O151" s="560"/>
      <c r="P151" s="561"/>
    </row>
    <row r="152" spans="9:16" x14ac:dyDescent="0.25">
      <c r="I152" s="560"/>
      <c r="J152" s="560"/>
      <c r="K152" s="560"/>
      <c r="L152" s="560"/>
      <c r="M152" s="560"/>
      <c r="N152" s="560"/>
      <c r="O152" s="560"/>
      <c r="P152" s="561"/>
    </row>
    <row r="153" spans="9:16" x14ac:dyDescent="0.25">
      <c r="I153" s="560"/>
      <c r="J153" s="560"/>
      <c r="K153" s="560"/>
      <c r="L153" s="560"/>
      <c r="M153" s="560"/>
      <c r="N153" s="560"/>
      <c r="O153" s="560"/>
      <c r="P153" s="561"/>
    </row>
    <row r="154" spans="9:16" x14ac:dyDescent="0.25">
      <c r="I154" s="560"/>
      <c r="J154" s="560"/>
      <c r="K154" s="560"/>
      <c r="L154" s="560"/>
      <c r="M154" s="560"/>
      <c r="N154" s="560"/>
      <c r="O154" s="560"/>
      <c r="P154" s="561"/>
    </row>
    <row r="155" spans="9:16" x14ac:dyDescent="0.25">
      <c r="I155" s="560"/>
      <c r="J155" s="560"/>
      <c r="K155" s="560"/>
      <c r="L155" s="560"/>
      <c r="M155" s="560"/>
      <c r="N155" s="560"/>
      <c r="O155" s="560"/>
      <c r="P155" s="561"/>
    </row>
    <row r="156" spans="9:16" x14ac:dyDescent="0.25">
      <c r="I156" s="560"/>
      <c r="J156" s="560"/>
      <c r="K156" s="560"/>
      <c r="L156" s="560"/>
      <c r="M156" s="560"/>
      <c r="N156" s="560"/>
      <c r="O156" s="560"/>
      <c r="P156" s="561"/>
    </row>
    <row r="157" spans="9:16" x14ac:dyDescent="0.25">
      <c r="I157" s="560"/>
      <c r="J157" s="560"/>
      <c r="K157" s="560"/>
      <c r="L157" s="560"/>
      <c r="M157" s="560"/>
      <c r="N157" s="560"/>
      <c r="O157" s="560"/>
      <c r="P157" s="561"/>
    </row>
    <row r="158" spans="9:16" x14ac:dyDescent="0.25">
      <c r="I158" s="560"/>
      <c r="J158" s="560"/>
      <c r="K158" s="560"/>
      <c r="L158" s="560"/>
      <c r="M158" s="560"/>
      <c r="N158" s="560"/>
      <c r="O158" s="560"/>
      <c r="P158" s="561"/>
    </row>
    <row r="159" spans="9:16" x14ac:dyDescent="0.25">
      <c r="I159" s="560"/>
      <c r="J159" s="560"/>
      <c r="K159" s="560"/>
      <c r="L159" s="560"/>
      <c r="M159" s="560"/>
      <c r="N159" s="560"/>
      <c r="O159" s="560"/>
      <c r="P159" s="561"/>
    </row>
    <row r="160" spans="9:16" x14ac:dyDescent="0.25">
      <c r="I160" s="560"/>
      <c r="J160" s="560"/>
      <c r="K160" s="560"/>
      <c r="L160" s="560"/>
      <c r="M160" s="560"/>
      <c r="N160" s="560"/>
      <c r="O160" s="560"/>
      <c r="P160" s="561"/>
    </row>
    <row r="161" spans="9:16" x14ac:dyDescent="0.25">
      <c r="I161" s="560"/>
      <c r="J161" s="560"/>
      <c r="K161" s="560"/>
      <c r="L161" s="560"/>
      <c r="M161" s="560"/>
      <c r="N161" s="560"/>
      <c r="O161" s="560"/>
      <c r="P161" s="561"/>
    </row>
    <row r="162" spans="9:16" x14ac:dyDescent="0.25">
      <c r="I162" s="560"/>
      <c r="J162" s="560"/>
      <c r="K162" s="560"/>
      <c r="L162" s="560"/>
      <c r="M162" s="560"/>
      <c r="N162" s="560"/>
      <c r="O162" s="560"/>
      <c r="P162" s="561"/>
    </row>
    <row r="163" spans="9:16" x14ac:dyDescent="0.25">
      <c r="I163" s="560"/>
      <c r="J163" s="560"/>
      <c r="K163" s="560"/>
      <c r="L163" s="560"/>
      <c r="M163" s="560"/>
      <c r="N163" s="560"/>
      <c r="O163" s="560"/>
      <c r="P163" s="561"/>
    </row>
    <row r="164" spans="9:16" x14ac:dyDescent="0.25">
      <c r="I164" s="560"/>
      <c r="J164" s="560"/>
      <c r="K164" s="560"/>
      <c r="L164" s="560"/>
      <c r="M164" s="560"/>
      <c r="N164" s="560"/>
      <c r="O164" s="560"/>
      <c r="P164" s="561"/>
    </row>
    <row r="165" spans="9:16" x14ac:dyDescent="0.25">
      <c r="I165" s="560"/>
      <c r="J165" s="560"/>
      <c r="K165" s="560"/>
      <c r="L165" s="560"/>
      <c r="M165" s="560"/>
      <c r="N165" s="560"/>
      <c r="O165" s="560"/>
      <c r="P165" s="561"/>
    </row>
    <row r="166" spans="9:16" x14ac:dyDescent="0.25">
      <c r="I166" s="560"/>
      <c r="J166" s="560"/>
      <c r="K166" s="560"/>
      <c r="L166" s="560"/>
      <c r="M166" s="560"/>
      <c r="N166" s="560"/>
      <c r="O166" s="560"/>
      <c r="P166" s="561"/>
    </row>
    <row r="167" spans="9:16" x14ac:dyDescent="0.25">
      <c r="I167" s="560"/>
      <c r="J167" s="560"/>
      <c r="K167" s="560"/>
      <c r="L167" s="560"/>
      <c r="M167" s="560"/>
      <c r="N167" s="560"/>
      <c r="O167" s="560"/>
      <c r="P167" s="561"/>
    </row>
    <row r="168" spans="9:16" x14ac:dyDescent="0.25">
      <c r="I168" s="560"/>
      <c r="J168" s="560"/>
      <c r="K168" s="560"/>
      <c r="L168" s="560"/>
      <c r="M168" s="560"/>
      <c r="N168" s="560"/>
      <c r="O168" s="560"/>
      <c r="P168" s="561"/>
    </row>
    <row r="169" spans="9:16" x14ac:dyDescent="0.25">
      <c r="I169" s="560"/>
      <c r="J169" s="560"/>
      <c r="K169" s="560"/>
      <c r="L169" s="560"/>
      <c r="M169" s="560"/>
      <c r="N169" s="560"/>
      <c r="O169" s="560"/>
      <c r="P169" s="561"/>
    </row>
    <row r="170" spans="9:16" x14ac:dyDescent="0.25">
      <c r="I170" s="560"/>
      <c r="J170" s="560"/>
      <c r="K170" s="560"/>
      <c r="L170" s="560"/>
      <c r="M170" s="560"/>
      <c r="N170" s="560"/>
      <c r="O170" s="560"/>
      <c r="P170" s="561"/>
    </row>
    <row r="171" spans="9:16" x14ac:dyDescent="0.25">
      <c r="I171" s="560"/>
      <c r="J171" s="560"/>
      <c r="K171" s="560"/>
      <c r="L171" s="560"/>
      <c r="M171" s="560"/>
      <c r="N171" s="560"/>
      <c r="O171" s="560"/>
      <c r="P171" s="561"/>
    </row>
    <row r="172" spans="9:16" x14ac:dyDescent="0.25">
      <c r="I172" s="560"/>
      <c r="J172" s="560"/>
      <c r="K172" s="560"/>
      <c r="L172" s="560"/>
      <c r="M172" s="560"/>
      <c r="N172" s="560"/>
      <c r="O172" s="560"/>
      <c r="P172" s="561"/>
    </row>
    <row r="173" spans="9:16" x14ac:dyDescent="0.25">
      <c r="I173" s="560"/>
      <c r="J173" s="560"/>
      <c r="K173" s="560"/>
      <c r="L173" s="560"/>
      <c r="M173" s="560"/>
      <c r="N173" s="560"/>
      <c r="O173" s="560"/>
      <c r="P173" s="561"/>
    </row>
    <row r="174" spans="9:16" x14ac:dyDescent="0.25">
      <c r="I174" s="560"/>
      <c r="J174" s="560"/>
      <c r="K174" s="560"/>
      <c r="L174" s="560"/>
      <c r="M174" s="560"/>
      <c r="N174" s="560"/>
      <c r="O174" s="560"/>
      <c r="P174" s="561"/>
    </row>
    <row r="175" spans="9:16" x14ac:dyDescent="0.25">
      <c r="I175" s="560"/>
      <c r="J175" s="560"/>
      <c r="K175" s="560"/>
      <c r="L175" s="560"/>
      <c r="M175" s="560"/>
      <c r="N175" s="560"/>
      <c r="O175" s="560"/>
      <c r="P175" s="561"/>
    </row>
    <row r="176" spans="9:16" x14ac:dyDescent="0.25">
      <c r="I176" s="560"/>
      <c r="J176" s="560"/>
      <c r="K176" s="560"/>
      <c r="L176" s="560"/>
      <c r="M176" s="560"/>
      <c r="N176" s="560"/>
      <c r="O176" s="560"/>
      <c r="P176" s="561"/>
    </row>
    <row r="177" spans="9:16" x14ac:dyDescent="0.25">
      <c r="I177" s="560"/>
      <c r="J177" s="560"/>
      <c r="K177" s="560"/>
      <c r="L177" s="560"/>
      <c r="M177" s="560"/>
      <c r="N177" s="560"/>
      <c r="O177" s="560"/>
      <c r="P177" s="561"/>
    </row>
    <row r="178" spans="9:16" x14ac:dyDescent="0.25">
      <c r="I178" s="560"/>
      <c r="J178" s="560"/>
      <c r="K178" s="560"/>
      <c r="L178" s="560"/>
      <c r="M178" s="560"/>
      <c r="N178" s="560"/>
      <c r="O178" s="560"/>
      <c r="P178" s="561"/>
    </row>
    <row r="179" spans="9:16" x14ac:dyDescent="0.25">
      <c r="I179" s="560"/>
      <c r="J179" s="560"/>
      <c r="K179" s="560"/>
      <c r="L179" s="560"/>
      <c r="M179" s="560"/>
      <c r="N179" s="560"/>
      <c r="O179" s="560"/>
      <c r="P179" s="561"/>
    </row>
    <row r="180" spans="9:16" x14ac:dyDescent="0.25">
      <c r="I180" s="560"/>
      <c r="J180" s="560"/>
      <c r="K180" s="560"/>
      <c r="L180" s="560"/>
      <c r="M180" s="560"/>
      <c r="N180" s="560"/>
      <c r="O180" s="560"/>
      <c r="P180" s="561"/>
    </row>
    <row r="181" spans="9:16" x14ac:dyDescent="0.25">
      <c r="I181" s="560"/>
      <c r="J181" s="560"/>
      <c r="K181" s="560"/>
      <c r="L181" s="560"/>
      <c r="M181" s="560"/>
      <c r="N181" s="560"/>
      <c r="O181" s="560"/>
      <c r="P181" s="561"/>
    </row>
    <row r="182" spans="9:16" x14ac:dyDescent="0.25">
      <c r="I182" s="560"/>
      <c r="J182" s="560"/>
      <c r="K182" s="560"/>
      <c r="L182" s="560"/>
      <c r="M182" s="560"/>
      <c r="N182" s="560"/>
      <c r="O182" s="560"/>
      <c r="P182" s="561"/>
    </row>
    <row r="183" spans="9:16" x14ac:dyDescent="0.25">
      <c r="I183" s="560"/>
      <c r="J183" s="560"/>
      <c r="K183" s="560"/>
      <c r="L183" s="560"/>
      <c r="M183" s="560"/>
      <c r="N183" s="560"/>
      <c r="O183" s="560"/>
      <c r="P183" s="561"/>
    </row>
    <row r="184" spans="9:16" x14ac:dyDescent="0.25">
      <c r="I184" s="560"/>
      <c r="J184" s="560"/>
      <c r="K184" s="560"/>
      <c r="L184" s="560"/>
      <c r="M184" s="560"/>
      <c r="N184" s="560"/>
      <c r="O184" s="560"/>
      <c r="P184" s="561"/>
    </row>
    <row r="185" spans="9:16" x14ac:dyDescent="0.25">
      <c r="I185" s="560"/>
      <c r="J185" s="560"/>
      <c r="K185" s="560"/>
      <c r="L185" s="560"/>
      <c r="M185" s="560"/>
      <c r="N185" s="560"/>
      <c r="O185" s="560"/>
      <c r="P185" s="561"/>
    </row>
    <row r="186" spans="9:16" x14ac:dyDescent="0.25">
      <c r="I186" s="560"/>
      <c r="J186" s="560"/>
      <c r="K186" s="560"/>
      <c r="L186" s="560"/>
      <c r="M186" s="560"/>
      <c r="N186" s="560"/>
      <c r="O186" s="560"/>
      <c r="P186" s="561"/>
    </row>
    <row r="187" spans="9:16" x14ac:dyDescent="0.25">
      <c r="I187" s="560"/>
      <c r="J187" s="560"/>
      <c r="K187" s="560"/>
      <c r="L187" s="560"/>
      <c r="M187" s="560"/>
      <c r="N187" s="560"/>
      <c r="O187" s="560"/>
      <c r="P187" s="561"/>
    </row>
    <row r="188" spans="9:16" x14ac:dyDescent="0.25">
      <c r="I188" s="560"/>
      <c r="J188" s="560"/>
      <c r="K188" s="560"/>
      <c r="L188" s="560"/>
      <c r="M188" s="560"/>
      <c r="N188" s="560"/>
      <c r="O188" s="560"/>
      <c r="P188" s="561"/>
    </row>
    <row r="189" spans="9:16" x14ac:dyDescent="0.25">
      <c r="I189" s="560"/>
      <c r="J189" s="560"/>
      <c r="K189" s="560"/>
      <c r="L189" s="560"/>
      <c r="M189" s="560"/>
      <c r="N189" s="560"/>
      <c r="O189" s="560"/>
      <c r="P189" s="561"/>
    </row>
    <row r="190" spans="9:16" x14ac:dyDescent="0.25">
      <c r="I190" s="560"/>
      <c r="J190" s="560"/>
      <c r="K190" s="560"/>
      <c r="L190" s="560"/>
      <c r="M190" s="560"/>
      <c r="N190" s="560"/>
      <c r="O190" s="560"/>
      <c r="P190" s="561"/>
    </row>
    <row r="191" spans="9:16" x14ac:dyDescent="0.25">
      <c r="I191" s="560"/>
      <c r="J191" s="560"/>
      <c r="K191" s="560"/>
      <c r="L191" s="560"/>
      <c r="M191" s="560"/>
      <c r="N191" s="560"/>
      <c r="O191" s="560"/>
      <c r="P191" s="561"/>
    </row>
    <row r="192" spans="9:16" x14ac:dyDescent="0.25">
      <c r="I192" s="560"/>
      <c r="J192" s="560"/>
      <c r="K192" s="560"/>
      <c r="L192" s="560"/>
      <c r="M192" s="560"/>
      <c r="N192" s="560"/>
      <c r="O192" s="560"/>
      <c r="P192" s="561"/>
    </row>
    <row r="193" spans="9:16" x14ac:dyDescent="0.25">
      <c r="I193" s="560"/>
      <c r="J193" s="560"/>
      <c r="K193" s="560"/>
      <c r="L193" s="560"/>
      <c r="M193" s="560"/>
      <c r="N193" s="560"/>
      <c r="O193" s="560"/>
      <c r="P193" s="561"/>
    </row>
    <row r="194" spans="9:16" x14ac:dyDescent="0.25">
      <c r="I194" s="560"/>
      <c r="J194" s="560"/>
      <c r="K194" s="560"/>
      <c r="L194" s="560"/>
      <c r="M194" s="560"/>
      <c r="N194" s="560"/>
      <c r="O194" s="560"/>
      <c r="P194" s="561"/>
    </row>
    <row r="195" spans="9:16" x14ac:dyDescent="0.25">
      <c r="I195" s="560"/>
      <c r="J195" s="560"/>
      <c r="K195" s="560"/>
      <c r="L195" s="560"/>
      <c r="M195" s="560"/>
      <c r="N195" s="560"/>
      <c r="O195" s="560"/>
      <c r="P195" s="561"/>
    </row>
    <row r="196" spans="9:16" x14ac:dyDescent="0.25">
      <c r="I196" s="560"/>
      <c r="J196" s="560"/>
      <c r="K196" s="560"/>
      <c r="L196" s="560"/>
      <c r="M196" s="560"/>
      <c r="N196" s="560"/>
      <c r="O196" s="560"/>
      <c r="P196" s="561"/>
    </row>
    <row r="197" spans="9:16" x14ac:dyDescent="0.25">
      <c r="I197" s="560"/>
      <c r="J197" s="560"/>
      <c r="K197" s="560"/>
      <c r="L197" s="560"/>
      <c r="M197" s="560"/>
      <c r="N197" s="560"/>
      <c r="O197" s="560"/>
      <c r="P197" s="561"/>
    </row>
    <row r="198" spans="9:16" x14ac:dyDescent="0.25">
      <c r="I198" s="560"/>
      <c r="J198" s="560"/>
      <c r="K198" s="560"/>
      <c r="L198" s="560"/>
      <c r="M198" s="560"/>
      <c r="N198" s="560"/>
      <c r="O198" s="560"/>
      <c r="P198" s="561"/>
    </row>
    <row r="199" spans="9:16" x14ac:dyDescent="0.25">
      <c r="I199" s="560"/>
      <c r="J199" s="560"/>
      <c r="K199" s="560"/>
      <c r="L199" s="560"/>
      <c r="M199" s="560"/>
      <c r="N199" s="560"/>
      <c r="O199" s="560"/>
      <c r="P199" s="561"/>
    </row>
    <row r="200" spans="9:16" x14ac:dyDescent="0.25">
      <c r="I200" s="560"/>
      <c r="J200" s="560"/>
      <c r="K200" s="560"/>
      <c r="L200" s="560"/>
      <c r="M200" s="560"/>
      <c r="N200" s="560"/>
      <c r="O200" s="560"/>
      <c r="P200" s="561"/>
    </row>
    <row r="201" spans="9:16" x14ac:dyDescent="0.25">
      <c r="I201" s="560"/>
      <c r="J201" s="560"/>
      <c r="K201" s="560"/>
      <c r="L201" s="560"/>
      <c r="M201" s="560"/>
      <c r="N201" s="560"/>
      <c r="O201" s="560"/>
      <c r="P201" s="561"/>
    </row>
    <row r="202" spans="9:16" x14ac:dyDescent="0.25">
      <c r="I202" s="560"/>
      <c r="J202" s="560"/>
      <c r="K202" s="560"/>
      <c r="L202" s="560"/>
      <c r="M202" s="560"/>
      <c r="N202" s="560"/>
      <c r="O202" s="560"/>
      <c r="P202" s="561"/>
    </row>
    <row r="203" spans="9:16" x14ac:dyDescent="0.25">
      <c r="I203" s="560"/>
      <c r="J203" s="560"/>
      <c r="K203" s="560"/>
      <c r="L203" s="560"/>
      <c r="M203" s="560"/>
      <c r="N203" s="560"/>
      <c r="O203" s="560"/>
      <c r="P203" s="561"/>
    </row>
    <row r="204" spans="9:16" x14ac:dyDescent="0.25">
      <c r="I204" s="560"/>
      <c r="J204" s="560"/>
      <c r="K204" s="560"/>
      <c r="L204" s="560"/>
      <c r="M204" s="560"/>
      <c r="N204" s="560"/>
      <c r="O204" s="560"/>
      <c r="P204" s="561"/>
    </row>
    <row r="205" spans="9:16" x14ac:dyDescent="0.25">
      <c r="I205" s="560"/>
      <c r="J205" s="560"/>
      <c r="K205" s="560"/>
      <c r="L205" s="560"/>
      <c r="M205" s="560"/>
      <c r="N205" s="560"/>
      <c r="O205" s="560"/>
      <c r="P205" s="561"/>
    </row>
    <row r="206" spans="9:16" x14ac:dyDescent="0.25">
      <c r="I206" s="560"/>
      <c r="J206" s="560"/>
      <c r="K206" s="560"/>
      <c r="L206" s="560"/>
      <c r="M206" s="560"/>
      <c r="N206" s="560"/>
      <c r="O206" s="560"/>
      <c r="P206" s="561"/>
    </row>
    <row r="207" spans="9:16" x14ac:dyDescent="0.25">
      <c r="I207" s="560"/>
      <c r="J207" s="560"/>
      <c r="K207" s="560"/>
      <c r="L207" s="560"/>
      <c r="M207" s="560"/>
      <c r="N207" s="560"/>
      <c r="O207" s="560"/>
      <c r="P207" s="561"/>
    </row>
    <row r="208" spans="9:16" x14ac:dyDescent="0.25">
      <c r="I208" s="560"/>
      <c r="J208" s="560"/>
      <c r="K208" s="560"/>
      <c r="L208" s="560"/>
      <c r="M208" s="560"/>
      <c r="N208" s="560"/>
      <c r="O208" s="560"/>
      <c r="P208" s="561"/>
    </row>
    <row r="209" spans="9:16" x14ac:dyDescent="0.25">
      <c r="I209" s="560"/>
      <c r="J209" s="560"/>
      <c r="K209" s="560"/>
      <c r="L209" s="560"/>
      <c r="M209" s="560"/>
      <c r="N209" s="560"/>
      <c r="O209" s="560"/>
      <c r="P209" s="561"/>
    </row>
    <row r="210" spans="9:16" x14ac:dyDescent="0.25">
      <c r="I210" s="560"/>
      <c r="J210" s="560"/>
      <c r="K210" s="560"/>
      <c r="L210" s="560"/>
      <c r="M210" s="560"/>
      <c r="N210" s="560"/>
      <c r="O210" s="560"/>
      <c r="P210" s="561"/>
    </row>
    <row r="211" spans="9:16" x14ac:dyDescent="0.25">
      <c r="I211" s="560"/>
      <c r="J211" s="560"/>
      <c r="K211" s="560"/>
      <c r="L211" s="560"/>
      <c r="M211" s="560"/>
      <c r="N211" s="560"/>
      <c r="O211" s="560"/>
      <c r="P211" s="561"/>
    </row>
    <row r="212" spans="9:16" x14ac:dyDescent="0.25">
      <c r="I212" s="560"/>
      <c r="J212" s="560"/>
      <c r="K212" s="560"/>
      <c r="L212" s="560"/>
      <c r="M212" s="560"/>
      <c r="N212" s="560"/>
      <c r="O212" s="560"/>
      <c r="P212" s="561"/>
    </row>
    <row r="213" spans="9:16" x14ac:dyDescent="0.25">
      <c r="I213" s="560"/>
      <c r="J213" s="560"/>
      <c r="K213" s="560"/>
      <c r="L213" s="560"/>
      <c r="M213" s="560"/>
      <c r="N213" s="560"/>
      <c r="O213" s="560"/>
      <c r="P213" s="561"/>
    </row>
    <row r="214" spans="9:16" x14ac:dyDescent="0.25">
      <c r="I214" s="560"/>
      <c r="J214" s="560"/>
      <c r="K214" s="560"/>
      <c r="L214" s="560"/>
      <c r="M214" s="560"/>
      <c r="N214" s="560"/>
      <c r="O214" s="560"/>
      <c r="P214" s="561"/>
    </row>
    <row r="215" spans="9:16" x14ac:dyDescent="0.25">
      <c r="I215" s="560"/>
      <c r="J215" s="560"/>
      <c r="K215" s="560"/>
      <c r="L215" s="560"/>
      <c r="M215" s="560"/>
      <c r="N215" s="560"/>
      <c r="O215" s="560"/>
      <c r="P215" s="561"/>
    </row>
    <row r="216" spans="9:16" x14ac:dyDescent="0.25">
      <c r="I216" s="560"/>
      <c r="J216" s="560"/>
      <c r="K216" s="560"/>
      <c r="L216" s="560"/>
      <c r="M216" s="560"/>
      <c r="N216" s="560"/>
      <c r="O216" s="560"/>
      <c r="P216" s="561"/>
    </row>
    <row r="217" spans="9:16" x14ac:dyDescent="0.25">
      <c r="I217" s="560"/>
      <c r="J217" s="560"/>
      <c r="K217" s="560"/>
      <c r="L217" s="560"/>
      <c r="M217" s="560"/>
      <c r="N217" s="560"/>
      <c r="O217" s="560"/>
      <c r="P217" s="561"/>
    </row>
    <row r="218" spans="9:16" x14ac:dyDescent="0.25">
      <c r="I218" s="560"/>
      <c r="J218" s="560"/>
      <c r="K218" s="560"/>
      <c r="L218" s="560"/>
      <c r="M218" s="560"/>
      <c r="N218" s="560"/>
      <c r="O218" s="560"/>
      <c r="P218" s="561"/>
    </row>
    <row r="219" spans="9:16" x14ac:dyDescent="0.25">
      <c r="I219" s="560"/>
      <c r="J219" s="560"/>
      <c r="K219" s="560"/>
      <c r="L219" s="560"/>
      <c r="M219" s="560"/>
      <c r="N219" s="560"/>
      <c r="O219" s="560"/>
      <c r="P219" s="561"/>
    </row>
    <row r="220" spans="9:16" x14ac:dyDescent="0.25">
      <c r="I220" s="560"/>
      <c r="J220" s="560"/>
      <c r="K220" s="560"/>
      <c r="L220" s="560"/>
      <c r="M220" s="560"/>
      <c r="N220" s="560"/>
      <c r="O220" s="560"/>
      <c r="P220" s="561"/>
    </row>
    <row r="221" spans="9:16" x14ac:dyDescent="0.25">
      <c r="I221" s="560"/>
      <c r="J221" s="560"/>
      <c r="K221" s="560"/>
      <c r="L221" s="560"/>
      <c r="M221" s="560"/>
      <c r="N221" s="560"/>
      <c r="O221" s="560"/>
      <c r="P221" s="561"/>
    </row>
    <row r="222" spans="9:16" x14ac:dyDescent="0.25">
      <c r="I222" s="560"/>
      <c r="J222" s="560"/>
      <c r="K222" s="560"/>
      <c r="L222" s="560"/>
      <c r="M222" s="560"/>
      <c r="N222" s="560"/>
      <c r="O222" s="560"/>
      <c r="P222" s="561"/>
    </row>
    <row r="223" spans="9:16" x14ac:dyDescent="0.25">
      <c r="I223" s="560"/>
      <c r="J223" s="560"/>
      <c r="K223" s="560"/>
      <c r="L223" s="560"/>
      <c r="M223" s="560"/>
      <c r="N223" s="560"/>
      <c r="O223" s="560"/>
      <c r="P223" s="561"/>
    </row>
    <row r="224" spans="9:16" x14ac:dyDescent="0.25">
      <c r="I224" s="560"/>
      <c r="J224" s="560"/>
      <c r="K224" s="560"/>
      <c r="L224" s="560"/>
      <c r="M224" s="560"/>
      <c r="N224" s="560"/>
      <c r="O224" s="560"/>
      <c r="P224" s="561"/>
    </row>
    <row r="225" spans="9:16" x14ac:dyDescent="0.25">
      <c r="I225" s="560"/>
      <c r="J225" s="560"/>
      <c r="K225" s="560"/>
      <c r="L225" s="560"/>
      <c r="M225" s="560"/>
      <c r="N225" s="560"/>
      <c r="O225" s="560"/>
      <c r="P225" s="561"/>
    </row>
    <row r="226" spans="9:16" x14ac:dyDescent="0.25">
      <c r="I226" s="560"/>
      <c r="J226" s="560"/>
      <c r="K226" s="560"/>
      <c r="L226" s="560"/>
      <c r="M226" s="560"/>
      <c r="N226" s="560"/>
      <c r="O226" s="560"/>
      <c r="P226" s="561"/>
    </row>
    <row r="227" spans="9:16" x14ac:dyDescent="0.25">
      <c r="I227" s="560"/>
      <c r="J227" s="560"/>
      <c r="K227" s="560"/>
      <c r="L227" s="560"/>
      <c r="M227" s="560"/>
      <c r="N227" s="560"/>
      <c r="O227" s="560"/>
      <c r="P227" s="561"/>
    </row>
    <row r="228" spans="9:16" x14ac:dyDescent="0.25">
      <c r="I228" s="560"/>
      <c r="J228" s="560"/>
      <c r="K228" s="560"/>
      <c r="L228" s="560"/>
      <c r="M228" s="560"/>
      <c r="N228" s="560"/>
      <c r="O228" s="560"/>
      <c r="P228" s="561"/>
    </row>
    <row r="229" spans="9:16" x14ac:dyDescent="0.25">
      <c r="I229" s="560"/>
      <c r="J229" s="560"/>
      <c r="K229" s="560"/>
      <c r="L229" s="560"/>
      <c r="M229" s="560"/>
      <c r="N229" s="560"/>
      <c r="O229" s="560"/>
      <c r="P229" s="561"/>
    </row>
    <row r="230" spans="9:16" x14ac:dyDescent="0.25">
      <c r="I230" s="560"/>
      <c r="J230" s="560"/>
      <c r="K230" s="560"/>
      <c r="L230" s="560"/>
      <c r="M230" s="560"/>
      <c r="N230" s="560"/>
      <c r="O230" s="560"/>
      <c r="P230" s="561"/>
    </row>
    <row r="231" spans="9:16" x14ac:dyDescent="0.25">
      <c r="I231" s="560"/>
      <c r="J231" s="560"/>
      <c r="K231" s="560"/>
      <c r="L231" s="560"/>
      <c r="M231" s="560"/>
      <c r="N231" s="560"/>
      <c r="O231" s="560"/>
      <c r="P231" s="561"/>
    </row>
    <row r="232" spans="9:16" x14ac:dyDescent="0.25">
      <c r="I232" s="560"/>
      <c r="J232" s="560"/>
      <c r="K232" s="560"/>
      <c r="L232" s="560"/>
      <c r="M232" s="560"/>
      <c r="N232" s="560"/>
      <c r="O232" s="560"/>
      <c r="P232" s="561"/>
    </row>
    <row r="233" spans="9:16" x14ac:dyDescent="0.25">
      <c r="I233" s="560"/>
      <c r="J233" s="560"/>
      <c r="K233" s="560"/>
      <c r="L233" s="560"/>
      <c r="M233" s="560"/>
      <c r="N233" s="560"/>
      <c r="O233" s="560"/>
      <c r="P233" s="561"/>
    </row>
    <row r="234" spans="9:16" x14ac:dyDescent="0.25">
      <c r="I234" s="560"/>
      <c r="J234" s="560"/>
      <c r="K234" s="560"/>
      <c r="L234" s="560"/>
      <c r="M234" s="560"/>
      <c r="N234" s="560"/>
      <c r="O234" s="560"/>
      <c r="P234" s="561"/>
    </row>
    <row r="235" spans="9:16" x14ac:dyDescent="0.25">
      <c r="I235" s="560"/>
      <c r="J235" s="560"/>
      <c r="K235" s="560"/>
      <c r="L235" s="560"/>
      <c r="M235" s="560"/>
      <c r="N235" s="560"/>
      <c r="O235" s="560"/>
      <c r="P235" s="561"/>
    </row>
    <row r="236" spans="9:16" x14ac:dyDescent="0.25">
      <c r="I236" s="560"/>
      <c r="J236" s="560"/>
      <c r="K236" s="560"/>
      <c r="L236" s="560"/>
      <c r="M236" s="560"/>
      <c r="N236" s="560"/>
      <c r="O236" s="560"/>
      <c r="P236" s="561"/>
    </row>
    <row r="237" spans="9:16" x14ac:dyDescent="0.25">
      <c r="I237" s="560"/>
      <c r="J237" s="560"/>
      <c r="K237" s="560"/>
      <c r="L237" s="560"/>
      <c r="M237" s="560"/>
      <c r="N237" s="560"/>
      <c r="O237" s="560"/>
      <c r="P237" s="561"/>
    </row>
    <row r="238" spans="9:16" x14ac:dyDescent="0.25">
      <c r="I238" s="560"/>
      <c r="J238" s="560"/>
      <c r="K238" s="560"/>
      <c r="L238" s="560"/>
      <c r="M238" s="560"/>
      <c r="N238" s="560"/>
      <c r="O238" s="560"/>
      <c r="P238" s="561"/>
    </row>
    <row r="239" spans="9:16" x14ac:dyDescent="0.25">
      <c r="I239" s="560"/>
      <c r="J239" s="560"/>
      <c r="K239" s="560"/>
      <c r="L239" s="560"/>
      <c r="M239" s="560"/>
      <c r="N239" s="560"/>
      <c r="O239" s="560"/>
      <c r="P239" s="561"/>
    </row>
    <row r="240" spans="9:16" x14ac:dyDescent="0.25">
      <c r="I240" s="560"/>
      <c r="J240" s="560"/>
      <c r="K240" s="560"/>
      <c r="L240" s="560"/>
      <c r="M240" s="560"/>
      <c r="N240" s="560"/>
      <c r="O240" s="560"/>
      <c r="P240" s="561"/>
    </row>
    <row r="241" spans="9:16" x14ac:dyDescent="0.25">
      <c r="I241" s="560"/>
      <c r="J241" s="560"/>
      <c r="K241" s="560"/>
      <c r="L241" s="560"/>
      <c r="M241" s="560"/>
      <c r="N241" s="560"/>
      <c r="O241" s="560"/>
      <c r="P241" s="561"/>
    </row>
    <row r="242" spans="9:16" x14ac:dyDescent="0.25">
      <c r="I242" s="560"/>
      <c r="J242" s="560"/>
      <c r="K242" s="560"/>
      <c r="L242" s="560"/>
      <c r="M242" s="560"/>
      <c r="N242" s="560"/>
      <c r="O242" s="560"/>
      <c r="P242" s="561"/>
    </row>
    <row r="243" spans="9:16" x14ac:dyDescent="0.25">
      <c r="I243" s="560"/>
      <c r="J243" s="560"/>
      <c r="K243" s="560"/>
      <c r="L243" s="560"/>
      <c r="M243" s="560"/>
      <c r="N243" s="560"/>
      <c r="O243" s="560"/>
      <c r="P243" s="561"/>
    </row>
    <row r="244" spans="9:16" x14ac:dyDescent="0.25">
      <c r="I244" s="560"/>
      <c r="J244" s="560"/>
      <c r="K244" s="560"/>
      <c r="L244" s="560"/>
      <c r="M244" s="560"/>
      <c r="N244" s="560"/>
      <c r="O244" s="560"/>
      <c r="P244" s="561"/>
    </row>
    <row r="245" spans="9:16" x14ac:dyDescent="0.25">
      <c r="I245" s="560"/>
      <c r="J245" s="560"/>
      <c r="K245" s="560"/>
      <c r="L245" s="560"/>
      <c r="M245" s="560"/>
      <c r="N245" s="560"/>
      <c r="O245" s="560"/>
      <c r="P245" s="561"/>
    </row>
    <row r="246" spans="9:16" x14ac:dyDescent="0.25">
      <c r="I246" s="560"/>
      <c r="J246" s="560"/>
      <c r="K246" s="560"/>
      <c r="L246" s="560"/>
      <c r="M246" s="560"/>
      <c r="N246" s="560"/>
      <c r="O246" s="560"/>
      <c r="P246" s="561"/>
    </row>
    <row r="247" spans="9:16" x14ac:dyDescent="0.25">
      <c r="I247" s="560"/>
      <c r="J247" s="560"/>
      <c r="K247" s="560"/>
      <c r="L247" s="560"/>
      <c r="M247" s="560"/>
      <c r="N247" s="560"/>
      <c r="O247" s="560"/>
      <c r="P247" s="561"/>
    </row>
    <row r="248" spans="9:16" x14ac:dyDescent="0.25">
      <c r="I248" s="560"/>
      <c r="J248" s="560"/>
      <c r="K248" s="560"/>
      <c r="L248" s="560"/>
      <c r="M248" s="560"/>
      <c r="N248" s="560"/>
      <c r="O248" s="560"/>
      <c r="P248" s="561"/>
    </row>
    <row r="249" spans="9:16" x14ac:dyDescent="0.25">
      <c r="I249" s="560"/>
      <c r="J249" s="560"/>
      <c r="K249" s="560"/>
      <c r="L249" s="560"/>
      <c r="M249" s="560"/>
      <c r="N249" s="560"/>
      <c r="O249" s="560"/>
      <c r="P249" s="561"/>
    </row>
    <row r="250" spans="9:16" x14ac:dyDescent="0.25">
      <c r="I250" s="560"/>
      <c r="J250" s="560"/>
      <c r="K250" s="560"/>
      <c r="L250" s="560"/>
      <c r="M250" s="560"/>
      <c r="N250" s="560"/>
      <c r="O250" s="560"/>
      <c r="P250" s="561"/>
    </row>
    <row r="251" spans="9:16" x14ac:dyDescent="0.25">
      <c r="I251" s="560"/>
      <c r="J251" s="560"/>
      <c r="K251" s="560"/>
      <c r="L251" s="560"/>
      <c r="M251" s="560"/>
      <c r="N251" s="560"/>
      <c r="O251" s="560"/>
      <c r="P251" s="561"/>
    </row>
    <row r="252" spans="9:16" x14ac:dyDescent="0.25">
      <c r="I252" s="560"/>
      <c r="J252" s="560"/>
      <c r="K252" s="560"/>
      <c r="L252" s="560"/>
      <c r="M252" s="560"/>
      <c r="N252" s="560"/>
      <c r="O252" s="560"/>
      <c r="P252" s="561"/>
    </row>
    <row r="253" spans="9:16" x14ac:dyDescent="0.25">
      <c r="I253" s="560"/>
      <c r="J253" s="560"/>
      <c r="K253" s="560"/>
      <c r="L253" s="560"/>
      <c r="M253" s="560"/>
      <c r="N253" s="560"/>
      <c r="O253" s="560"/>
      <c r="P253" s="561"/>
    </row>
    <row r="254" spans="9:16" x14ac:dyDescent="0.25">
      <c r="I254" s="560"/>
      <c r="J254" s="560"/>
      <c r="K254" s="560"/>
      <c r="L254" s="560"/>
      <c r="M254" s="560"/>
      <c r="N254" s="560"/>
      <c r="O254" s="560"/>
      <c r="P254" s="561"/>
    </row>
    <row r="255" spans="9:16" x14ac:dyDescent="0.25">
      <c r="I255" s="560"/>
      <c r="J255" s="560"/>
      <c r="K255" s="560"/>
      <c r="L255" s="560"/>
      <c r="M255" s="560"/>
      <c r="N255" s="560"/>
      <c r="O255" s="560"/>
      <c r="P255" s="561"/>
    </row>
    <row r="256" spans="9:16" x14ac:dyDescent="0.25">
      <c r="I256" s="560"/>
      <c r="J256" s="560"/>
      <c r="K256" s="560"/>
      <c r="L256" s="560"/>
      <c r="M256" s="560"/>
      <c r="N256" s="560"/>
      <c r="O256" s="560"/>
      <c r="P256" s="561"/>
    </row>
    <row r="257" spans="9:16" x14ac:dyDescent="0.25">
      <c r="I257" s="560"/>
      <c r="J257" s="560"/>
      <c r="K257" s="560"/>
      <c r="L257" s="560"/>
      <c r="M257" s="560"/>
      <c r="N257" s="560"/>
      <c r="O257" s="560"/>
      <c r="P257" s="561"/>
    </row>
    <row r="258" spans="9:16" x14ac:dyDescent="0.25">
      <c r="I258" s="560"/>
      <c r="J258" s="560"/>
      <c r="K258" s="560"/>
      <c r="L258" s="560"/>
      <c r="M258" s="560"/>
      <c r="N258" s="560"/>
      <c r="O258" s="560"/>
      <c r="P258" s="561"/>
    </row>
    <row r="259" spans="9:16" x14ac:dyDescent="0.25">
      <c r="I259" s="560"/>
      <c r="J259" s="560"/>
      <c r="K259" s="560"/>
      <c r="L259" s="560"/>
      <c r="M259" s="560"/>
      <c r="N259" s="560"/>
      <c r="O259" s="560"/>
      <c r="P259" s="561"/>
    </row>
    <row r="260" spans="9:16" x14ac:dyDescent="0.25">
      <c r="I260" s="560"/>
      <c r="J260" s="560"/>
      <c r="K260" s="560"/>
      <c r="L260" s="560"/>
      <c r="M260" s="560"/>
      <c r="N260" s="560"/>
      <c r="O260" s="560"/>
      <c r="P260" s="561"/>
    </row>
    <row r="261" spans="9:16" x14ac:dyDescent="0.25">
      <c r="I261" s="560"/>
      <c r="J261" s="560"/>
      <c r="K261" s="560"/>
      <c r="L261" s="560"/>
      <c r="M261" s="560"/>
      <c r="N261" s="560"/>
      <c r="O261" s="560"/>
      <c r="P261" s="561"/>
    </row>
    <row r="262" spans="9:16" x14ac:dyDescent="0.25">
      <c r="I262" s="560"/>
      <c r="J262" s="560"/>
      <c r="K262" s="560"/>
      <c r="L262" s="560"/>
      <c r="M262" s="560"/>
      <c r="N262" s="560"/>
      <c r="O262" s="560"/>
      <c r="P262" s="561"/>
    </row>
    <row r="263" spans="9:16" x14ac:dyDescent="0.25">
      <c r="I263" s="560"/>
      <c r="J263" s="560"/>
      <c r="K263" s="560"/>
      <c r="L263" s="560"/>
      <c r="M263" s="560"/>
      <c r="N263" s="560"/>
      <c r="O263" s="560"/>
      <c r="P263" s="561"/>
    </row>
    <row r="264" spans="9:16" x14ac:dyDescent="0.25">
      <c r="I264" s="560"/>
      <c r="J264" s="560"/>
      <c r="K264" s="560"/>
      <c r="L264" s="560"/>
      <c r="M264" s="560"/>
      <c r="N264" s="560"/>
      <c r="O264" s="560"/>
      <c r="P264" s="561"/>
    </row>
    <row r="265" spans="9:16" x14ac:dyDescent="0.25">
      <c r="I265" s="560"/>
      <c r="J265" s="560"/>
      <c r="K265" s="560"/>
      <c r="L265" s="560"/>
      <c r="M265" s="560"/>
      <c r="N265" s="560"/>
      <c r="O265" s="560"/>
      <c r="P265" s="561"/>
    </row>
    <row r="266" spans="9:16" x14ac:dyDescent="0.25">
      <c r="I266" s="560"/>
      <c r="J266" s="560"/>
      <c r="K266" s="560"/>
      <c r="L266" s="560"/>
      <c r="M266" s="560"/>
      <c r="N266" s="560"/>
      <c r="O266" s="560"/>
      <c r="P266" s="561"/>
    </row>
    <row r="267" spans="9:16" x14ac:dyDescent="0.25">
      <c r="I267" s="560"/>
      <c r="J267" s="560"/>
      <c r="K267" s="560"/>
      <c r="L267" s="560"/>
      <c r="M267" s="560"/>
      <c r="N267" s="560"/>
      <c r="O267" s="560"/>
      <c r="P267" s="561"/>
    </row>
    <row r="268" spans="9:16" x14ac:dyDescent="0.25">
      <c r="I268" s="560"/>
      <c r="J268" s="560"/>
      <c r="K268" s="560"/>
      <c r="L268" s="560"/>
      <c r="M268" s="560"/>
      <c r="N268" s="560"/>
      <c r="O268" s="560"/>
      <c r="P268" s="561"/>
    </row>
    <row r="269" spans="9:16" x14ac:dyDescent="0.25">
      <c r="I269" s="560"/>
      <c r="J269" s="560"/>
      <c r="K269" s="560"/>
      <c r="L269" s="560"/>
      <c r="M269" s="560"/>
      <c r="N269" s="560"/>
      <c r="O269" s="560"/>
      <c r="P269" s="561"/>
    </row>
    <row r="270" spans="9:16" x14ac:dyDescent="0.25">
      <c r="I270" s="560"/>
      <c r="J270" s="560"/>
      <c r="K270" s="560"/>
      <c r="L270" s="560"/>
      <c r="M270" s="560"/>
      <c r="N270" s="560"/>
      <c r="O270" s="560"/>
      <c r="P270" s="561"/>
    </row>
    <row r="271" spans="9:16" x14ac:dyDescent="0.25">
      <c r="I271" s="560"/>
      <c r="J271" s="560"/>
      <c r="K271" s="560"/>
      <c r="L271" s="560"/>
      <c r="M271" s="560"/>
      <c r="N271" s="560"/>
      <c r="O271" s="560"/>
      <c r="P271" s="561"/>
    </row>
    <row r="272" spans="9:16" x14ac:dyDescent="0.25">
      <c r="I272" s="560"/>
      <c r="J272" s="560"/>
      <c r="K272" s="560"/>
      <c r="L272" s="560"/>
      <c r="M272" s="560"/>
      <c r="N272" s="560"/>
      <c r="O272" s="560"/>
      <c r="P272" s="561"/>
    </row>
    <row r="273" spans="9:16" x14ac:dyDescent="0.25">
      <c r="I273" s="560"/>
      <c r="J273" s="560"/>
      <c r="K273" s="560"/>
      <c r="L273" s="560"/>
      <c r="M273" s="560"/>
      <c r="N273" s="560"/>
      <c r="O273" s="560"/>
      <c r="P273" s="561"/>
    </row>
    <row r="274" spans="9:16" x14ac:dyDescent="0.25">
      <c r="I274" s="560"/>
      <c r="J274" s="560"/>
      <c r="K274" s="560"/>
      <c r="L274" s="560"/>
      <c r="M274" s="560"/>
      <c r="N274" s="560"/>
      <c r="O274" s="560"/>
      <c r="P274" s="561"/>
    </row>
    <row r="275" spans="9:16" x14ac:dyDescent="0.25">
      <c r="I275" s="560"/>
      <c r="J275" s="560"/>
      <c r="K275" s="560"/>
      <c r="L275" s="560"/>
      <c r="M275" s="560"/>
      <c r="N275" s="560"/>
      <c r="O275" s="560"/>
      <c r="P275" s="561"/>
    </row>
    <row r="276" spans="9:16" x14ac:dyDescent="0.25">
      <c r="I276" s="560"/>
      <c r="J276" s="560"/>
      <c r="K276" s="560"/>
      <c r="L276" s="560"/>
      <c r="M276" s="560"/>
      <c r="N276" s="560"/>
      <c r="O276" s="560"/>
      <c r="P276" s="561"/>
    </row>
    <row r="277" spans="9:16" x14ac:dyDescent="0.25">
      <c r="I277" s="560"/>
      <c r="J277" s="560"/>
      <c r="K277" s="560"/>
      <c r="L277" s="560"/>
      <c r="M277" s="560"/>
      <c r="N277" s="560"/>
      <c r="O277" s="560"/>
      <c r="P277" s="561"/>
    </row>
    <row r="278" spans="9:16" x14ac:dyDescent="0.25">
      <c r="I278" s="560"/>
      <c r="J278" s="560"/>
      <c r="K278" s="560"/>
      <c r="L278" s="560"/>
      <c r="M278" s="560"/>
      <c r="N278" s="560"/>
      <c r="O278" s="560"/>
      <c r="P278" s="561"/>
    </row>
    <row r="279" spans="9:16" x14ac:dyDescent="0.25">
      <c r="I279" s="560"/>
      <c r="J279" s="560"/>
      <c r="K279" s="560"/>
      <c r="L279" s="560"/>
      <c r="M279" s="560"/>
      <c r="N279" s="560"/>
      <c r="O279" s="560"/>
      <c r="P279" s="561"/>
    </row>
    <row r="280" spans="9:16" x14ac:dyDescent="0.25">
      <c r="I280" s="560"/>
      <c r="J280" s="560"/>
      <c r="K280" s="560"/>
      <c r="L280" s="560"/>
      <c r="M280" s="560"/>
      <c r="N280" s="560"/>
      <c r="O280" s="560"/>
      <c r="P280" s="561"/>
    </row>
    <row r="281" spans="9:16" x14ac:dyDescent="0.25">
      <c r="I281" s="560"/>
      <c r="J281" s="560"/>
      <c r="K281" s="560"/>
      <c r="L281" s="560"/>
      <c r="M281" s="560"/>
      <c r="N281" s="560"/>
      <c r="O281" s="560"/>
      <c r="P281" s="561"/>
    </row>
    <row r="282" spans="9:16" x14ac:dyDescent="0.25">
      <c r="I282" s="560"/>
      <c r="J282" s="560"/>
      <c r="K282" s="560"/>
      <c r="L282" s="560"/>
      <c r="M282" s="560"/>
      <c r="N282" s="560"/>
      <c r="O282" s="560"/>
      <c r="P282" s="561"/>
    </row>
    <row r="283" spans="9:16" x14ac:dyDescent="0.25">
      <c r="I283" s="560"/>
      <c r="J283" s="560"/>
      <c r="K283" s="560"/>
      <c r="L283" s="560"/>
      <c r="M283" s="560"/>
      <c r="N283" s="560"/>
      <c r="O283" s="560"/>
      <c r="P283" s="561"/>
    </row>
    <row r="284" spans="9:16" x14ac:dyDescent="0.25">
      <c r="I284" s="560"/>
      <c r="J284" s="560"/>
      <c r="K284" s="560"/>
      <c r="L284" s="560"/>
      <c r="M284" s="560"/>
      <c r="N284" s="560"/>
      <c r="O284" s="560"/>
      <c r="P284" s="561"/>
    </row>
    <row r="285" spans="9:16" x14ac:dyDescent="0.25">
      <c r="I285" s="560"/>
      <c r="J285" s="560"/>
      <c r="K285" s="560"/>
      <c r="L285" s="560"/>
      <c r="M285" s="560"/>
      <c r="N285" s="560"/>
      <c r="O285" s="560"/>
      <c r="P285" s="561"/>
    </row>
    <row r="286" spans="9:16" x14ac:dyDescent="0.25">
      <c r="I286" s="560"/>
      <c r="J286" s="560"/>
      <c r="K286" s="560"/>
      <c r="L286" s="560"/>
      <c r="M286" s="560"/>
      <c r="N286" s="560"/>
      <c r="O286" s="560"/>
      <c r="P286" s="561"/>
    </row>
    <row r="287" spans="9:16" x14ac:dyDescent="0.25">
      <c r="I287" s="560"/>
      <c r="J287" s="560"/>
      <c r="K287" s="560"/>
      <c r="L287" s="560"/>
      <c r="M287" s="560"/>
      <c r="N287" s="560"/>
      <c r="O287" s="560"/>
      <c r="P287" s="561"/>
    </row>
    <row r="288" spans="9:16" x14ac:dyDescent="0.25">
      <c r="I288" s="560"/>
      <c r="J288" s="560"/>
      <c r="K288" s="560"/>
      <c r="L288" s="560"/>
      <c r="M288" s="560"/>
      <c r="N288" s="560"/>
      <c r="O288" s="560"/>
      <c r="P288" s="561"/>
    </row>
    <row r="289" spans="9:16" x14ac:dyDescent="0.25">
      <c r="I289" s="560"/>
      <c r="J289" s="560"/>
      <c r="K289" s="560"/>
      <c r="L289" s="560"/>
      <c r="M289" s="560"/>
      <c r="N289" s="560"/>
      <c r="O289" s="560"/>
      <c r="P289" s="561"/>
    </row>
    <row r="290" spans="9:16" x14ac:dyDescent="0.25">
      <c r="I290" s="560"/>
      <c r="J290" s="560"/>
      <c r="K290" s="560"/>
      <c r="L290" s="560"/>
      <c r="M290" s="560"/>
      <c r="N290" s="560"/>
      <c r="O290" s="560"/>
      <c r="P290" s="561"/>
    </row>
    <row r="291" spans="9:16" x14ac:dyDescent="0.25">
      <c r="I291" s="560"/>
      <c r="J291" s="560"/>
      <c r="K291" s="560"/>
      <c r="L291" s="560"/>
      <c r="M291" s="560"/>
      <c r="N291" s="560"/>
      <c r="O291" s="560"/>
      <c r="P291" s="561"/>
    </row>
    <row r="292" spans="9:16" x14ac:dyDescent="0.25">
      <c r="I292" s="560"/>
      <c r="J292" s="560"/>
      <c r="K292" s="560"/>
      <c r="L292" s="560"/>
      <c r="M292" s="560"/>
      <c r="N292" s="560"/>
      <c r="O292" s="560"/>
      <c r="P292" s="561"/>
    </row>
    <row r="293" spans="9:16" x14ac:dyDescent="0.25">
      <c r="I293" s="560"/>
      <c r="J293" s="560"/>
      <c r="K293" s="560"/>
      <c r="L293" s="560"/>
      <c r="M293" s="560"/>
      <c r="N293" s="560"/>
      <c r="O293" s="560"/>
      <c r="P293" s="561"/>
    </row>
    <row r="294" spans="9:16" x14ac:dyDescent="0.25">
      <c r="I294" s="560"/>
      <c r="J294" s="560"/>
      <c r="K294" s="560"/>
      <c r="L294" s="560"/>
      <c r="M294" s="560"/>
      <c r="N294" s="560"/>
      <c r="O294" s="560"/>
      <c r="P294" s="561"/>
    </row>
    <row r="295" spans="9:16" x14ac:dyDescent="0.25">
      <c r="I295" s="560"/>
      <c r="J295" s="560"/>
      <c r="K295" s="560"/>
      <c r="L295" s="560"/>
      <c r="M295" s="560"/>
      <c r="N295" s="560"/>
      <c r="O295" s="560"/>
      <c r="P295" s="561"/>
    </row>
    <row r="296" spans="9:16" x14ac:dyDescent="0.25">
      <c r="I296" s="560"/>
      <c r="J296" s="560"/>
      <c r="K296" s="560"/>
      <c r="L296" s="560"/>
      <c r="M296" s="560"/>
      <c r="N296" s="560"/>
      <c r="O296" s="560"/>
      <c r="P296" s="561"/>
    </row>
    <row r="297" spans="9:16" x14ac:dyDescent="0.25">
      <c r="I297" s="560"/>
      <c r="J297" s="560"/>
      <c r="K297" s="560"/>
      <c r="L297" s="560"/>
      <c r="M297" s="560"/>
      <c r="N297" s="560"/>
      <c r="O297" s="560"/>
      <c r="P297" s="561"/>
    </row>
    <row r="298" spans="9:16" x14ac:dyDescent="0.25">
      <c r="I298" s="560"/>
      <c r="J298" s="560"/>
      <c r="K298" s="560"/>
      <c r="L298" s="560"/>
      <c r="M298" s="560"/>
      <c r="N298" s="560"/>
      <c r="O298" s="560"/>
      <c r="P298" s="561"/>
    </row>
    <row r="299" spans="9:16" x14ac:dyDescent="0.25">
      <c r="I299" s="560"/>
      <c r="J299" s="560"/>
      <c r="K299" s="560"/>
      <c r="L299" s="560"/>
      <c r="M299" s="560"/>
      <c r="N299" s="560"/>
      <c r="O299" s="560"/>
      <c r="P299" s="561"/>
    </row>
    <row r="300" spans="9:16" x14ac:dyDescent="0.25">
      <c r="I300" s="560"/>
      <c r="J300" s="560"/>
      <c r="K300" s="560"/>
      <c r="L300" s="560"/>
      <c r="M300" s="560"/>
      <c r="N300" s="560"/>
      <c r="O300" s="560"/>
      <c r="P300" s="561"/>
    </row>
    <row r="301" spans="9:16" x14ac:dyDescent="0.25">
      <c r="I301" s="560"/>
      <c r="J301" s="560"/>
      <c r="K301" s="560"/>
      <c r="L301" s="560"/>
      <c r="M301" s="560"/>
      <c r="N301" s="560"/>
      <c r="O301" s="560"/>
      <c r="P301" s="561"/>
    </row>
    <row r="302" spans="9:16" x14ac:dyDescent="0.25">
      <c r="I302" s="560"/>
      <c r="J302" s="560"/>
      <c r="K302" s="560"/>
      <c r="L302" s="560"/>
      <c r="M302" s="560"/>
      <c r="N302" s="560"/>
      <c r="O302" s="560"/>
      <c r="P302" s="561"/>
    </row>
    <row r="303" spans="9:16" x14ac:dyDescent="0.25">
      <c r="I303" s="560"/>
      <c r="J303" s="560"/>
      <c r="K303" s="560"/>
      <c r="L303" s="560"/>
      <c r="M303" s="560"/>
      <c r="N303" s="560"/>
      <c r="O303" s="560"/>
      <c r="P303" s="561"/>
    </row>
    <row r="304" spans="9:16" x14ac:dyDescent="0.25">
      <c r="I304" s="560"/>
      <c r="J304" s="560"/>
      <c r="K304" s="560"/>
      <c r="L304" s="560"/>
      <c r="M304" s="560"/>
      <c r="N304" s="560"/>
      <c r="O304" s="560"/>
      <c r="P304" s="561"/>
    </row>
    <row r="305" spans="9:16" x14ac:dyDescent="0.25">
      <c r="I305" s="560"/>
      <c r="J305" s="560"/>
      <c r="K305" s="560"/>
      <c r="L305" s="560"/>
      <c r="M305" s="560"/>
      <c r="N305" s="560"/>
      <c r="O305" s="560"/>
      <c r="P305" s="561"/>
    </row>
    <row r="306" spans="9:16" x14ac:dyDescent="0.25">
      <c r="I306" s="560"/>
      <c r="J306" s="560"/>
      <c r="K306" s="560"/>
      <c r="L306" s="560"/>
      <c r="M306" s="560"/>
      <c r="N306" s="560"/>
      <c r="O306" s="560"/>
      <c r="P306" s="561"/>
    </row>
    <row r="307" spans="9:16" x14ac:dyDescent="0.25">
      <c r="I307" s="560"/>
      <c r="J307" s="560"/>
      <c r="K307" s="560"/>
      <c r="L307" s="560"/>
      <c r="M307" s="560"/>
      <c r="N307" s="560"/>
      <c r="O307" s="560"/>
      <c r="P307" s="561"/>
    </row>
    <row r="308" spans="9:16" x14ac:dyDescent="0.25">
      <c r="I308" s="560"/>
      <c r="J308" s="560"/>
      <c r="K308" s="560"/>
      <c r="L308" s="560"/>
      <c r="M308" s="560"/>
      <c r="N308" s="560"/>
      <c r="O308" s="560"/>
      <c r="P308" s="561"/>
    </row>
    <row r="309" spans="9:16" x14ac:dyDescent="0.25">
      <c r="I309" s="560"/>
      <c r="J309" s="560"/>
      <c r="K309" s="560"/>
      <c r="L309" s="560"/>
      <c r="M309" s="560"/>
      <c r="N309" s="560"/>
      <c r="O309" s="560"/>
      <c r="P309" s="561"/>
    </row>
    <row r="310" spans="9:16" x14ac:dyDescent="0.25">
      <c r="I310" s="560"/>
      <c r="J310" s="560"/>
      <c r="K310" s="560"/>
      <c r="L310" s="560"/>
      <c r="M310" s="560"/>
      <c r="N310" s="560"/>
      <c r="O310" s="560"/>
      <c r="P310" s="561"/>
    </row>
    <row r="311" spans="9:16" x14ac:dyDescent="0.25">
      <c r="I311" s="560"/>
      <c r="J311" s="560"/>
      <c r="K311" s="560"/>
      <c r="L311" s="560"/>
      <c r="M311" s="560"/>
      <c r="N311" s="560"/>
      <c r="O311" s="560"/>
      <c r="P311" s="561"/>
    </row>
    <row r="312" spans="9:16" x14ac:dyDescent="0.25">
      <c r="I312" s="560"/>
      <c r="J312" s="560"/>
      <c r="K312" s="560"/>
      <c r="L312" s="560"/>
      <c r="M312" s="560"/>
      <c r="N312" s="560"/>
      <c r="O312" s="560"/>
      <c r="P312" s="561"/>
    </row>
    <row r="313" spans="9:16" x14ac:dyDescent="0.25">
      <c r="I313" s="560"/>
      <c r="J313" s="560"/>
      <c r="K313" s="560"/>
      <c r="L313" s="560"/>
      <c r="M313" s="560"/>
      <c r="N313" s="560"/>
      <c r="O313" s="560"/>
      <c r="P313" s="561"/>
    </row>
    <row r="314" spans="9:16" x14ac:dyDescent="0.25">
      <c r="I314" s="560"/>
      <c r="J314" s="560"/>
      <c r="K314" s="560"/>
      <c r="L314" s="560"/>
      <c r="M314" s="560"/>
      <c r="N314" s="560"/>
      <c r="O314" s="560"/>
      <c r="P314" s="561"/>
    </row>
    <row r="315" spans="9:16" x14ac:dyDescent="0.25">
      <c r="I315" s="560"/>
      <c r="J315" s="560"/>
      <c r="K315" s="560"/>
      <c r="L315" s="560"/>
      <c r="M315" s="560"/>
      <c r="N315" s="560"/>
      <c r="O315" s="560"/>
      <c r="P315" s="561"/>
    </row>
    <row r="316" spans="9:16" x14ac:dyDescent="0.25">
      <c r="I316" s="560"/>
      <c r="J316" s="560"/>
      <c r="K316" s="560"/>
      <c r="L316" s="560"/>
      <c r="M316" s="560"/>
      <c r="N316" s="560"/>
      <c r="O316" s="560"/>
      <c r="P316" s="561"/>
    </row>
    <row r="317" spans="9:16" x14ac:dyDescent="0.25">
      <c r="I317" s="560"/>
      <c r="J317" s="560"/>
      <c r="K317" s="560"/>
      <c r="L317" s="560"/>
      <c r="M317" s="560"/>
      <c r="N317" s="560"/>
      <c r="O317" s="560"/>
      <c r="P317" s="561"/>
    </row>
    <row r="318" spans="9:16" x14ac:dyDescent="0.25">
      <c r="I318" s="560"/>
      <c r="J318" s="560"/>
      <c r="K318" s="560"/>
      <c r="L318" s="560"/>
      <c r="M318" s="560"/>
      <c r="N318" s="560"/>
      <c r="O318" s="560"/>
      <c r="P318" s="561"/>
    </row>
    <row r="319" spans="9:16" x14ac:dyDescent="0.25">
      <c r="I319" s="560"/>
      <c r="J319" s="560"/>
      <c r="K319" s="560"/>
      <c r="L319" s="560"/>
      <c r="M319" s="560"/>
      <c r="N319" s="560"/>
      <c r="O319" s="560"/>
      <c r="P319" s="561"/>
    </row>
    <row r="320" spans="9:16" x14ac:dyDescent="0.25">
      <c r="I320" s="560"/>
      <c r="J320" s="560"/>
      <c r="K320" s="560"/>
      <c r="L320" s="560"/>
      <c r="M320" s="560"/>
      <c r="N320" s="560"/>
      <c r="O320" s="560"/>
      <c r="P320" s="561"/>
    </row>
    <row r="321" spans="9:16" x14ac:dyDescent="0.25">
      <c r="I321" s="560"/>
      <c r="J321" s="560"/>
      <c r="K321" s="560"/>
      <c r="L321" s="560"/>
      <c r="M321" s="560"/>
      <c r="N321" s="560"/>
      <c r="O321" s="560"/>
      <c r="P321" s="561"/>
    </row>
    <row r="322" spans="9:16" x14ac:dyDescent="0.25">
      <c r="I322" s="560"/>
      <c r="J322" s="560"/>
      <c r="K322" s="560"/>
      <c r="L322" s="560"/>
      <c r="M322" s="560"/>
      <c r="N322" s="560"/>
      <c r="O322" s="560"/>
      <c r="P322" s="561"/>
    </row>
    <row r="323" spans="9:16" x14ac:dyDescent="0.25">
      <c r="I323" s="560"/>
      <c r="J323" s="560"/>
      <c r="K323" s="560"/>
      <c r="L323" s="560"/>
      <c r="M323" s="560"/>
      <c r="N323" s="560"/>
      <c r="O323" s="560"/>
      <c r="P323" s="561"/>
    </row>
    <row r="324" spans="9:16" x14ac:dyDescent="0.25">
      <c r="I324" s="560"/>
      <c r="J324" s="560"/>
      <c r="K324" s="560"/>
      <c r="L324" s="560"/>
      <c r="M324" s="560"/>
      <c r="N324" s="560"/>
      <c r="O324" s="560"/>
      <c r="P324" s="561"/>
    </row>
    <row r="325" spans="9:16" x14ac:dyDescent="0.25">
      <c r="I325" s="560"/>
      <c r="J325" s="560"/>
      <c r="K325" s="560"/>
      <c r="L325" s="560"/>
      <c r="M325" s="560"/>
      <c r="N325" s="560"/>
      <c r="O325" s="560"/>
      <c r="P325" s="561"/>
    </row>
    <row r="326" spans="9:16" x14ac:dyDescent="0.25">
      <c r="I326" s="560"/>
      <c r="J326" s="560"/>
      <c r="K326" s="560"/>
      <c r="L326" s="560"/>
      <c r="M326" s="560"/>
      <c r="N326" s="560"/>
      <c r="O326" s="560"/>
      <c r="P326" s="561"/>
    </row>
    <row r="327" spans="9:16" x14ac:dyDescent="0.25">
      <c r="I327" s="560"/>
      <c r="J327" s="560"/>
      <c r="K327" s="560"/>
      <c r="L327" s="560"/>
      <c r="M327" s="560"/>
      <c r="N327" s="560"/>
      <c r="O327" s="560"/>
      <c r="P327" s="561"/>
    </row>
    <row r="328" spans="9:16" x14ac:dyDescent="0.25">
      <c r="I328" s="560"/>
      <c r="J328" s="560"/>
      <c r="K328" s="560"/>
      <c r="L328" s="560"/>
      <c r="M328" s="560"/>
      <c r="N328" s="560"/>
      <c r="O328" s="560"/>
      <c r="P328" s="561"/>
    </row>
    <row r="329" spans="9:16" x14ac:dyDescent="0.25">
      <c r="I329" s="560"/>
      <c r="J329" s="560"/>
      <c r="K329" s="560"/>
      <c r="L329" s="560"/>
      <c r="M329" s="560"/>
      <c r="N329" s="560"/>
      <c r="O329" s="560"/>
      <c r="P329" s="561"/>
    </row>
    <row r="330" spans="9:16" x14ac:dyDescent="0.25">
      <c r="I330" s="560"/>
      <c r="J330" s="560"/>
      <c r="K330" s="560"/>
      <c r="L330" s="560"/>
      <c r="M330" s="560"/>
      <c r="N330" s="560"/>
      <c r="O330" s="560"/>
      <c r="P330" s="561"/>
    </row>
  </sheetData>
  <mergeCells count="8">
    <mergeCell ref="A21:A27"/>
    <mergeCell ref="C21:C27"/>
    <mergeCell ref="D21:D27"/>
    <mergeCell ref="A3:B4"/>
    <mergeCell ref="E3:H4"/>
    <mergeCell ref="A10:H10"/>
    <mergeCell ref="A12:H12"/>
    <mergeCell ref="A13:H1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G7" sqref="G7:H7"/>
    </sheetView>
  </sheetViews>
  <sheetFormatPr defaultRowHeight="12.75" x14ac:dyDescent="0.2"/>
  <cols>
    <col min="1" max="2" width="9.140625" style="247"/>
    <col min="3" max="3" width="17.28515625" style="247" customWidth="1"/>
    <col min="4" max="4" width="26.28515625" style="247" customWidth="1"/>
    <col min="5" max="5" width="9.140625" style="247"/>
    <col min="6" max="6" width="17.5703125" style="247" customWidth="1"/>
    <col min="7" max="7" width="9.140625" style="247"/>
    <col min="8" max="8" width="22.85546875" style="247" customWidth="1"/>
    <col min="9" max="9" width="14.42578125" style="247" customWidth="1"/>
    <col min="10" max="16384" width="9.140625" style="247"/>
  </cols>
  <sheetData>
    <row r="1" spans="1:14" ht="22.5" customHeight="1" thickBot="1" x14ac:dyDescent="0.25">
      <c r="A1" s="802" t="s">
        <v>192</v>
      </c>
      <c r="B1" s="802"/>
      <c r="C1" s="802"/>
      <c r="D1" s="802"/>
      <c r="E1" s="802"/>
      <c r="F1" s="802"/>
      <c r="G1" s="802"/>
      <c r="H1" s="802"/>
    </row>
    <row r="2" spans="1:14" ht="82.5" customHeight="1" thickBot="1" x14ac:dyDescent="0.25">
      <c r="A2" s="248" t="s">
        <v>62</v>
      </c>
      <c r="B2" s="803" t="s">
        <v>131</v>
      </c>
      <c r="C2" s="804"/>
      <c r="D2" s="805"/>
      <c r="E2" s="803" t="s">
        <v>132</v>
      </c>
      <c r="F2" s="805"/>
      <c r="G2" s="803" t="s">
        <v>133</v>
      </c>
      <c r="H2" s="805"/>
      <c r="I2" s="631" t="s">
        <v>134</v>
      </c>
    </row>
    <row r="3" spans="1:14" x14ac:dyDescent="0.2">
      <c r="A3" s="249">
        <v>1</v>
      </c>
      <c r="B3" s="806">
        <v>2</v>
      </c>
      <c r="C3" s="806"/>
      <c r="D3" s="806"/>
      <c r="E3" s="807">
        <v>3</v>
      </c>
      <c r="F3" s="808"/>
      <c r="G3" s="809">
        <v>4</v>
      </c>
      <c r="H3" s="810"/>
      <c r="I3" s="250">
        <v>5</v>
      </c>
      <c r="J3" s="125"/>
      <c r="K3" s="125"/>
      <c r="L3" s="125"/>
      <c r="M3" s="125"/>
      <c r="N3" s="125"/>
    </row>
    <row r="4" spans="1:14" ht="45.75" customHeight="1" x14ac:dyDescent="0.2">
      <c r="A4" s="778">
        <v>1</v>
      </c>
      <c r="B4" s="781" t="s">
        <v>296</v>
      </c>
      <c r="C4" s="782"/>
      <c r="D4" s="783"/>
      <c r="E4" s="790" t="s">
        <v>135</v>
      </c>
      <c r="F4" s="791"/>
      <c r="G4" s="251" t="s">
        <v>36</v>
      </c>
      <c r="H4" s="252"/>
      <c r="I4" s="253">
        <f>D8</f>
        <v>3019.9492100000002</v>
      </c>
      <c r="J4" s="254"/>
      <c r="K4" s="125"/>
      <c r="L4" s="125"/>
      <c r="M4" s="125"/>
      <c r="N4" s="125"/>
    </row>
    <row r="5" spans="1:14" ht="32.25" customHeight="1" x14ac:dyDescent="0.2">
      <c r="A5" s="779"/>
      <c r="B5" s="784"/>
      <c r="C5" s="785"/>
      <c r="D5" s="786"/>
      <c r="E5" s="792" t="s">
        <v>136</v>
      </c>
      <c r="F5" s="793"/>
      <c r="G5" s="255"/>
      <c r="H5" s="252"/>
      <c r="I5" s="253"/>
      <c r="J5" s="125"/>
      <c r="K5" s="125"/>
      <c r="L5" s="125"/>
      <c r="M5" s="125"/>
      <c r="N5" s="125"/>
    </row>
    <row r="6" spans="1:14" ht="15" customHeight="1" x14ac:dyDescent="0.2">
      <c r="A6" s="779"/>
      <c r="B6" s="784"/>
      <c r="C6" s="785"/>
      <c r="D6" s="786"/>
      <c r="E6" s="794" t="s">
        <v>43</v>
      </c>
      <c r="F6" s="795"/>
      <c r="G6" s="255"/>
      <c r="H6" s="252"/>
      <c r="I6" s="253"/>
      <c r="J6" s="796"/>
      <c r="K6" s="797"/>
      <c r="L6" s="125"/>
      <c r="M6" s="256"/>
      <c r="N6" s="256"/>
    </row>
    <row r="7" spans="1:14" ht="84.75" customHeight="1" thickBot="1" x14ac:dyDescent="0.25">
      <c r="A7" s="780"/>
      <c r="B7" s="787"/>
      <c r="C7" s="788"/>
      <c r="D7" s="789"/>
      <c r="E7" s="798" t="s">
        <v>349</v>
      </c>
      <c r="F7" s="799"/>
      <c r="G7" s="800" t="s">
        <v>558</v>
      </c>
      <c r="H7" s="801"/>
      <c r="I7" s="257">
        <f>((0.59447809909*0.097/1*1000*3.83))</f>
        <v>220.85455859292591</v>
      </c>
      <c r="J7" s="258"/>
      <c r="K7" s="125"/>
      <c r="L7" s="125"/>
      <c r="M7" s="256"/>
      <c r="N7" s="256"/>
    </row>
    <row r="8" spans="1:14" ht="25.5" customHeight="1" x14ac:dyDescent="0.2">
      <c r="A8" s="774" t="s">
        <v>356</v>
      </c>
      <c r="B8" s="774"/>
      <c r="C8" s="774"/>
      <c r="D8" s="529">
        <v>3019.9492100000002</v>
      </c>
      <c r="E8" s="775" t="s">
        <v>358</v>
      </c>
      <c r="F8" s="775"/>
      <c r="G8" s="125"/>
      <c r="H8" s="125"/>
      <c r="I8" s="259"/>
      <c r="J8" s="260"/>
      <c r="K8" s="260"/>
      <c r="L8" s="125"/>
      <c r="M8" s="125"/>
      <c r="N8" s="125"/>
    </row>
    <row r="10" spans="1:14" x14ac:dyDescent="0.2">
      <c r="A10" s="247" t="s">
        <v>354</v>
      </c>
      <c r="D10" s="247">
        <v>5.08</v>
      </c>
    </row>
    <row r="11" spans="1:14" x14ac:dyDescent="0.2">
      <c r="A11" s="527" t="s">
        <v>43</v>
      </c>
      <c r="B11" s="528"/>
    </row>
    <row r="12" spans="1:14" ht="13.5" customHeight="1" x14ac:dyDescent="0.2">
      <c r="A12" s="776" t="s">
        <v>355</v>
      </c>
      <c r="B12" s="777"/>
      <c r="C12" s="777"/>
    </row>
    <row r="14" spans="1:14" x14ac:dyDescent="0.2">
      <c r="A14" s="247" t="s">
        <v>357</v>
      </c>
      <c r="D14" s="247">
        <f>D8/D10</f>
        <v>594.47819094488193</v>
      </c>
    </row>
  </sheetData>
  <mergeCells count="18">
    <mergeCell ref="J6:K6"/>
    <mergeCell ref="E7:F7"/>
    <mergeCell ref="G7:H7"/>
    <mergeCell ref="A1:H1"/>
    <mergeCell ref="B2:D2"/>
    <mergeCell ref="E2:F2"/>
    <mergeCell ref="G2:H2"/>
    <mergeCell ref="B3:D3"/>
    <mergeCell ref="E3:F3"/>
    <mergeCell ref="G3:H3"/>
    <mergeCell ref="A8:C8"/>
    <mergeCell ref="E8:F8"/>
    <mergeCell ref="A12:C12"/>
    <mergeCell ref="A4:A7"/>
    <mergeCell ref="B4:D7"/>
    <mergeCell ref="E4:F4"/>
    <mergeCell ref="E5:F5"/>
    <mergeCell ref="E6:F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7"/>
  <sheetViews>
    <sheetView showGridLines="0" topLeftCell="A288" zoomScale="72" zoomScaleNormal="72" workbookViewId="0">
      <selection activeCell="K345" sqref="K345:L345"/>
    </sheetView>
  </sheetViews>
  <sheetFormatPr defaultRowHeight="14.25" x14ac:dyDescent="0.25"/>
  <cols>
    <col min="1" max="1" width="7.85546875" style="460" customWidth="1"/>
    <col min="2" max="2" width="17.7109375" style="460" customWidth="1"/>
    <col min="3" max="3" width="50.85546875" style="460" customWidth="1"/>
    <col min="4" max="4" width="11.140625" style="460" customWidth="1"/>
    <col min="5" max="6" width="10.7109375" style="460" customWidth="1"/>
    <col min="7" max="11" width="14.7109375" style="460" customWidth="1"/>
    <col min="12" max="12" width="10.7109375" style="460" customWidth="1"/>
    <col min="13" max="13" width="12.28515625" style="460" bestFit="1" customWidth="1"/>
    <col min="14" max="256" width="9.140625" style="460"/>
    <col min="257" max="257" width="7.85546875" style="460" customWidth="1"/>
    <col min="258" max="258" width="17.7109375" style="460" customWidth="1"/>
    <col min="259" max="259" width="50.85546875" style="460" customWidth="1"/>
    <col min="260" max="260" width="11.140625" style="460" customWidth="1"/>
    <col min="261" max="262" width="10.7109375" style="460" customWidth="1"/>
    <col min="263" max="267" width="14.7109375" style="460" customWidth="1"/>
    <col min="268" max="268" width="10.7109375" style="460" customWidth="1"/>
    <col min="269" max="269" width="12.28515625" style="460" bestFit="1" customWidth="1"/>
    <col min="270" max="512" width="9.140625" style="460"/>
    <col min="513" max="513" width="7.85546875" style="460" customWidth="1"/>
    <col min="514" max="514" width="17.7109375" style="460" customWidth="1"/>
    <col min="515" max="515" width="50.85546875" style="460" customWidth="1"/>
    <col min="516" max="516" width="11.140625" style="460" customWidth="1"/>
    <col min="517" max="518" width="10.7109375" style="460" customWidth="1"/>
    <col min="519" max="523" width="14.7109375" style="460" customWidth="1"/>
    <col min="524" max="524" width="10.7109375" style="460" customWidth="1"/>
    <col min="525" max="525" width="12.28515625" style="460" bestFit="1" customWidth="1"/>
    <col min="526" max="768" width="9.140625" style="460"/>
    <col min="769" max="769" width="7.85546875" style="460" customWidth="1"/>
    <col min="770" max="770" width="17.7109375" style="460" customWidth="1"/>
    <col min="771" max="771" width="50.85546875" style="460" customWidth="1"/>
    <col min="772" max="772" width="11.140625" style="460" customWidth="1"/>
    <col min="773" max="774" width="10.7109375" style="460" customWidth="1"/>
    <col min="775" max="779" width="14.7109375" style="460" customWidth="1"/>
    <col min="780" max="780" width="10.7109375" style="460" customWidth="1"/>
    <col min="781" max="781" width="12.28515625" style="460" bestFit="1" customWidth="1"/>
    <col min="782" max="1024" width="9.140625" style="460"/>
    <col min="1025" max="1025" width="7.85546875" style="460" customWidth="1"/>
    <col min="1026" max="1026" width="17.7109375" style="460" customWidth="1"/>
    <col min="1027" max="1027" width="50.85546875" style="460" customWidth="1"/>
    <col min="1028" max="1028" width="11.140625" style="460" customWidth="1"/>
    <col min="1029" max="1030" width="10.7109375" style="460" customWidth="1"/>
    <col min="1031" max="1035" width="14.7109375" style="460" customWidth="1"/>
    <col min="1036" max="1036" width="10.7109375" style="460" customWidth="1"/>
    <col min="1037" max="1037" width="12.28515625" style="460" bestFit="1" customWidth="1"/>
    <col min="1038" max="1280" width="9.140625" style="460"/>
    <col min="1281" max="1281" width="7.85546875" style="460" customWidth="1"/>
    <col min="1282" max="1282" width="17.7109375" style="460" customWidth="1"/>
    <col min="1283" max="1283" width="50.85546875" style="460" customWidth="1"/>
    <col min="1284" max="1284" width="11.140625" style="460" customWidth="1"/>
    <col min="1285" max="1286" width="10.7109375" style="460" customWidth="1"/>
    <col min="1287" max="1291" width="14.7109375" style="460" customWidth="1"/>
    <col min="1292" max="1292" width="10.7109375" style="460" customWidth="1"/>
    <col min="1293" max="1293" width="12.28515625" style="460" bestFit="1" customWidth="1"/>
    <col min="1294" max="1536" width="9.140625" style="460"/>
    <col min="1537" max="1537" width="7.85546875" style="460" customWidth="1"/>
    <col min="1538" max="1538" width="17.7109375" style="460" customWidth="1"/>
    <col min="1539" max="1539" width="50.85546875" style="460" customWidth="1"/>
    <col min="1540" max="1540" width="11.140625" style="460" customWidth="1"/>
    <col min="1541" max="1542" width="10.7109375" style="460" customWidth="1"/>
    <col min="1543" max="1547" width="14.7109375" style="460" customWidth="1"/>
    <col min="1548" max="1548" width="10.7109375" style="460" customWidth="1"/>
    <col min="1549" max="1549" width="12.28515625" style="460" bestFit="1" customWidth="1"/>
    <col min="1550" max="1792" width="9.140625" style="460"/>
    <col min="1793" max="1793" width="7.85546875" style="460" customWidth="1"/>
    <col min="1794" max="1794" width="17.7109375" style="460" customWidth="1"/>
    <col min="1795" max="1795" width="50.85546875" style="460" customWidth="1"/>
    <col min="1796" max="1796" width="11.140625" style="460" customWidth="1"/>
    <col min="1797" max="1798" width="10.7109375" style="460" customWidth="1"/>
    <col min="1799" max="1803" width="14.7109375" style="460" customWidth="1"/>
    <col min="1804" max="1804" width="10.7109375" style="460" customWidth="1"/>
    <col min="1805" max="1805" width="12.28515625" style="460" bestFit="1" customWidth="1"/>
    <col min="1806" max="2048" width="9.140625" style="460"/>
    <col min="2049" max="2049" width="7.85546875" style="460" customWidth="1"/>
    <col min="2050" max="2050" width="17.7109375" style="460" customWidth="1"/>
    <col min="2051" max="2051" width="50.85546875" style="460" customWidth="1"/>
    <col min="2052" max="2052" width="11.140625" style="460" customWidth="1"/>
    <col min="2053" max="2054" width="10.7109375" style="460" customWidth="1"/>
    <col min="2055" max="2059" width="14.7109375" style="460" customWidth="1"/>
    <col min="2060" max="2060" width="10.7109375" style="460" customWidth="1"/>
    <col min="2061" max="2061" width="12.28515625" style="460" bestFit="1" customWidth="1"/>
    <col min="2062" max="2304" width="9.140625" style="460"/>
    <col min="2305" max="2305" width="7.85546875" style="460" customWidth="1"/>
    <col min="2306" max="2306" width="17.7109375" style="460" customWidth="1"/>
    <col min="2307" max="2307" width="50.85546875" style="460" customWidth="1"/>
    <col min="2308" max="2308" width="11.140625" style="460" customWidth="1"/>
    <col min="2309" max="2310" width="10.7109375" style="460" customWidth="1"/>
    <col min="2311" max="2315" width="14.7109375" style="460" customWidth="1"/>
    <col min="2316" max="2316" width="10.7109375" style="460" customWidth="1"/>
    <col min="2317" max="2317" width="12.28515625" style="460" bestFit="1" customWidth="1"/>
    <col min="2318" max="2560" width="9.140625" style="460"/>
    <col min="2561" max="2561" width="7.85546875" style="460" customWidth="1"/>
    <col min="2562" max="2562" width="17.7109375" style="460" customWidth="1"/>
    <col min="2563" max="2563" width="50.85546875" style="460" customWidth="1"/>
    <col min="2564" max="2564" width="11.140625" style="460" customWidth="1"/>
    <col min="2565" max="2566" width="10.7109375" style="460" customWidth="1"/>
    <col min="2567" max="2571" width="14.7109375" style="460" customWidth="1"/>
    <col min="2572" max="2572" width="10.7109375" style="460" customWidth="1"/>
    <col min="2573" max="2573" width="12.28515625" style="460" bestFit="1" customWidth="1"/>
    <col min="2574" max="2816" width="9.140625" style="460"/>
    <col min="2817" max="2817" width="7.85546875" style="460" customWidth="1"/>
    <col min="2818" max="2818" width="17.7109375" style="460" customWidth="1"/>
    <col min="2819" max="2819" width="50.85546875" style="460" customWidth="1"/>
    <col min="2820" max="2820" width="11.140625" style="460" customWidth="1"/>
    <col min="2821" max="2822" width="10.7109375" style="460" customWidth="1"/>
    <col min="2823" max="2827" width="14.7109375" style="460" customWidth="1"/>
    <col min="2828" max="2828" width="10.7109375" style="460" customWidth="1"/>
    <col min="2829" max="2829" width="12.28515625" style="460" bestFit="1" customWidth="1"/>
    <col min="2830" max="3072" width="9.140625" style="460"/>
    <col min="3073" max="3073" width="7.85546875" style="460" customWidth="1"/>
    <col min="3074" max="3074" width="17.7109375" style="460" customWidth="1"/>
    <col min="3075" max="3075" width="50.85546875" style="460" customWidth="1"/>
    <col min="3076" max="3076" width="11.140625" style="460" customWidth="1"/>
    <col min="3077" max="3078" width="10.7109375" style="460" customWidth="1"/>
    <col min="3079" max="3083" width="14.7109375" style="460" customWidth="1"/>
    <col min="3084" max="3084" width="10.7109375" style="460" customWidth="1"/>
    <col min="3085" max="3085" width="12.28515625" style="460" bestFit="1" customWidth="1"/>
    <col min="3086" max="3328" width="9.140625" style="460"/>
    <col min="3329" max="3329" width="7.85546875" style="460" customWidth="1"/>
    <col min="3330" max="3330" width="17.7109375" style="460" customWidth="1"/>
    <col min="3331" max="3331" width="50.85546875" style="460" customWidth="1"/>
    <col min="3332" max="3332" width="11.140625" style="460" customWidth="1"/>
    <col min="3333" max="3334" width="10.7109375" style="460" customWidth="1"/>
    <col min="3335" max="3339" width="14.7109375" style="460" customWidth="1"/>
    <col min="3340" max="3340" width="10.7109375" style="460" customWidth="1"/>
    <col min="3341" max="3341" width="12.28515625" style="460" bestFit="1" customWidth="1"/>
    <col min="3342" max="3584" width="9.140625" style="460"/>
    <col min="3585" max="3585" width="7.85546875" style="460" customWidth="1"/>
    <col min="3586" max="3586" width="17.7109375" style="460" customWidth="1"/>
    <col min="3587" max="3587" width="50.85546875" style="460" customWidth="1"/>
    <col min="3588" max="3588" width="11.140625" style="460" customWidth="1"/>
    <col min="3589" max="3590" width="10.7109375" style="460" customWidth="1"/>
    <col min="3591" max="3595" width="14.7109375" style="460" customWidth="1"/>
    <col min="3596" max="3596" width="10.7109375" style="460" customWidth="1"/>
    <col min="3597" max="3597" width="12.28515625" style="460" bestFit="1" customWidth="1"/>
    <col min="3598" max="3840" width="9.140625" style="460"/>
    <col min="3841" max="3841" width="7.85546875" style="460" customWidth="1"/>
    <col min="3842" max="3842" width="17.7109375" style="460" customWidth="1"/>
    <col min="3843" max="3843" width="50.85546875" style="460" customWidth="1"/>
    <col min="3844" max="3844" width="11.140625" style="460" customWidth="1"/>
    <col min="3845" max="3846" width="10.7109375" style="460" customWidth="1"/>
    <col min="3847" max="3851" width="14.7109375" style="460" customWidth="1"/>
    <col min="3852" max="3852" width="10.7109375" style="460" customWidth="1"/>
    <col min="3853" max="3853" width="12.28515625" style="460" bestFit="1" customWidth="1"/>
    <col min="3854" max="4096" width="9.140625" style="460"/>
    <col min="4097" max="4097" width="7.85546875" style="460" customWidth="1"/>
    <col min="4098" max="4098" width="17.7109375" style="460" customWidth="1"/>
    <col min="4099" max="4099" width="50.85546875" style="460" customWidth="1"/>
    <col min="4100" max="4100" width="11.140625" style="460" customWidth="1"/>
    <col min="4101" max="4102" width="10.7109375" style="460" customWidth="1"/>
    <col min="4103" max="4107" width="14.7109375" style="460" customWidth="1"/>
    <col min="4108" max="4108" width="10.7109375" style="460" customWidth="1"/>
    <col min="4109" max="4109" width="12.28515625" style="460" bestFit="1" customWidth="1"/>
    <col min="4110" max="4352" width="9.140625" style="460"/>
    <col min="4353" max="4353" width="7.85546875" style="460" customWidth="1"/>
    <col min="4354" max="4354" width="17.7109375" style="460" customWidth="1"/>
    <col min="4355" max="4355" width="50.85546875" style="460" customWidth="1"/>
    <col min="4356" max="4356" width="11.140625" style="460" customWidth="1"/>
    <col min="4357" max="4358" width="10.7109375" style="460" customWidth="1"/>
    <col min="4359" max="4363" width="14.7109375" style="460" customWidth="1"/>
    <col min="4364" max="4364" width="10.7109375" style="460" customWidth="1"/>
    <col min="4365" max="4365" width="12.28515625" style="460" bestFit="1" customWidth="1"/>
    <col min="4366" max="4608" width="9.140625" style="460"/>
    <col min="4609" max="4609" width="7.85546875" style="460" customWidth="1"/>
    <col min="4610" max="4610" width="17.7109375" style="460" customWidth="1"/>
    <col min="4611" max="4611" width="50.85546875" style="460" customWidth="1"/>
    <col min="4612" max="4612" width="11.140625" style="460" customWidth="1"/>
    <col min="4613" max="4614" width="10.7109375" style="460" customWidth="1"/>
    <col min="4615" max="4619" width="14.7109375" style="460" customWidth="1"/>
    <col min="4620" max="4620" width="10.7109375" style="460" customWidth="1"/>
    <col min="4621" max="4621" width="12.28515625" style="460" bestFit="1" customWidth="1"/>
    <col min="4622" max="4864" width="9.140625" style="460"/>
    <col min="4865" max="4865" width="7.85546875" style="460" customWidth="1"/>
    <col min="4866" max="4866" width="17.7109375" style="460" customWidth="1"/>
    <col min="4867" max="4867" width="50.85546875" style="460" customWidth="1"/>
    <col min="4868" max="4868" width="11.140625" style="460" customWidth="1"/>
    <col min="4869" max="4870" width="10.7109375" style="460" customWidth="1"/>
    <col min="4871" max="4875" width="14.7109375" style="460" customWidth="1"/>
    <col min="4876" max="4876" width="10.7109375" style="460" customWidth="1"/>
    <col min="4877" max="4877" width="12.28515625" style="460" bestFit="1" customWidth="1"/>
    <col min="4878" max="5120" width="9.140625" style="460"/>
    <col min="5121" max="5121" width="7.85546875" style="460" customWidth="1"/>
    <col min="5122" max="5122" width="17.7109375" style="460" customWidth="1"/>
    <col min="5123" max="5123" width="50.85546875" style="460" customWidth="1"/>
    <col min="5124" max="5124" width="11.140625" style="460" customWidth="1"/>
    <col min="5125" max="5126" width="10.7109375" style="460" customWidth="1"/>
    <col min="5127" max="5131" width="14.7109375" style="460" customWidth="1"/>
    <col min="5132" max="5132" width="10.7109375" style="460" customWidth="1"/>
    <col min="5133" max="5133" width="12.28515625" style="460" bestFit="1" customWidth="1"/>
    <col min="5134" max="5376" width="9.140625" style="460"/>
    <col min="5377" max="5377" width="7.85546875" style="460" customWidth="1"/>
    <col min="5378" max="5378" width="17.7109375" style="460" customWidth="1"/>
    <col min="5379" max="5379" width="50.85546875" style="460" customWidth="1"/>
    <col min="5380" max="5380" width="11.140625" style="460" customWidth="1"/>
    <col min="5381" max="5382" width="10.7109375" style="460" customWidth="1"/>
    <col min="5383" max="5387" width="14.7109375" style="460" customWidth="1"/>
    <col min="5388" max="5388" width="10.7109375" style="460" customWidth="1"/>
    <col min="5389" max="5389" width="12.28515625" style="460" bestFit="1" customWidth="1"/>
    <col min="5390" max="5632" width="9.140625" style="460"/>
    <col min="5633" max="5633" width="7.85546875" style="460" customWidth="1"/>
    <col min="5634" max="5634" width="17.7109375" style="460" customWidth="1"/>
    <col min="5635" max="5635" width="50.85546875" style="460" customWidth="1"/>
    <col min="5636" max="5636" width="11.140625" style="460" customWidth="1"/>
    <col min="5637" max="5638" width="10.7109375" style="460" customWidth="1"/>
    <col min="5639" max="5643" width="14.7109375" style="460" customWidth="1"/>
    <col min="5644" max="5644" width="10.7109375" style="460" customWidth="1"/>
    <col min="5645" max="5645" width="12.28515625" style="460" bestFit="1" customWidth="1"/>
    <col min="5646" max="5888" width="9.140625" style="460"/>
    <col min="5889" max="5889" width="7.85546875" style="460" customWidth="1"/>
    <col min="5890" max="5890" width="17.7109375" style="460" customWidth="1"/>
    <col min="5891" max="5891" width="50.85546875" style="460" customWidth="1"/>
    <col min="5892" max="5892" width="11.140625" style="460" customWidth="1"/>
    <col min="5893" max="5894" width="10.7109375" style="460" customWidth="1"/>
    <col min="5895" max="5899" width="14.7109375" style="460" customWidth="1"/>
    <col min="5900" max="5900" width="10.7109375" style="460" customWidth="1"/>
    <col min="5901" max="5901" width="12.28515625" style="460" bestFit="1" customWidth="1"/>
    <col min="5902" max="6144" width="9.140625" style="460"/>
    <col min="6145" max="6145" width="7.85546875" style="460" customWidth="1"/>
    <col min="6146" max="6146" width="17.7109375" style="460" customWidth="1"/>
    <col min="6147" max="6147" width="50.85546875" style="460" customWidth="1"/>
    <col min="6148" max="6148" width="11.140625" style="460" customWidth="1"/>
    <col min="6149" max="6150" width="10.7109375" style="460" customWidth="1"/>
    <col min="6151" max="6155" width="14.7109375" style="460" customWidth="1"/>
    <col min="6156" max="6156" width="10.7109375" style="460" customWidth="1"/>
    <col min="6157" max="6157" width="12.28515625" style="460" bestFit="1" customWidth="1"/>
    <col min="6158" max="6400" width="9.140625" style="460"/>
    <col min="6401" max="6401" width="7.85546875" style="460" customWidth="1"/>
    <col min="6402" max="6402" width="17.7109375" style="460" customWidth="1"/>
    <col min="6403" max="6403" width="50.85546875" style="460" customWidth="1"/>
    <col min="6404" max="6404" width="11.140625" style="460" customWidth="1"/>
    <col min="6405" max="6406" width="10.7109375" style="460" customWidth="1"/>
    <col min="6407" max="6411" width="14.7109375" style="460" customWidth="1"/>
    <col min="6412" max="6412" width="10.7109375" style="460" customWidth="1"/>
    <col min="6413" max="6413" width="12.28515625" style="460" bestFit="1" customWidth="1"/>
    <col min="6414" max="6656" width="9.140625" style="460"/>
    <col min="6657" max="6657" width="7.85546875" style="460" customWidth="1"/>
    <col min="6658" max="6658" width="17.7109375" style="460" customWidth="1"/>
    <col min="6659" max="6659" width="50.85546875" style="460" customWidth="1"/>
    <col min="6660" max="6660" width="11.140625" style="460" customWidth="1"/>
    <col min="6661" max="6662" width="10.7109375" style="460" customWidth="1"/>
    <col min="6663" max="6667" width="14.7109375" style="460" customWidth="1"/>
    <col min="6668" max="6668" width="10.7109375" style="460" customWidth="1"/>
    <col min="6669" max="6669" width="12.28515625" style="460" bestFit="1" customWidth="1"/>
    <col min="6670" max="6912" width="9.140625" style="460"/>
    <col min="6913" max="6913" width="7.85546875" style="460" customWidth="1"/>
    <col min="6914" max="6914" width="17.7109375" style="460" customWidth="1"/>
    <col min="6915" max="6915" width="50.85546875" style="460" customWidth="1"/>
    <col min="6916" max="6916" width="11.140625" style="460" customWidth="1"/>
    <col min="6917" max="6918" width="10.7109375" style="460" customWidth="1"/>
    <col min="6919" max="6923" width="14.7109375" style="460" customWidth="1"/>
    <col min="6924" max="6924" width="10.7109375" style="460" customWidth="1"/>
    <col min="6925" max="6925" width="12.28515625" style="460" bestFit="1" customWidth="1"/>
    <col min="6926" max="7168" width="9.140625" style="460"/>
    <col min="7169" max="7169" width="7.85546875" style="460" customWidth="1"/>
    <col min="7170" max="7170" width="17.7109375" style="460" customWidth="1"/>
    <col min="7171" max="7171" width="50.85546875" style="460" customWidth="1"/>
    <col min="7172" max="7172" width="11.140625" style="460" customWidth="1"/>
    <col min="7173" max="7174" width="10.7109375" style="460" customWidth="1"/>
    <col min="7175" max="7179" width="14.7109375" style="460" customWidth="1"/>
    <col min="7180" max="7180" width="10.7109375" style="460" customWidth="1"/>
    <col min="7181" max="7181" width="12.28515625" style="460" bestFit="1" customWidth="1"/>
    <col min="7182" max="7424" width="9.140625" style="460"/>
    <col min="7425" max="7425" width="7.85546875" style="460" customWidth="1"/>
    <col min="7426" max="7426" width="17.7109375" style="460" customWidth="1"/>
    <col min="7427" max="7427" width="50.85546875" style="460" customWidth="1"/>
    <col min="7428" max="7428" width="11.140625" style="460" customWidth="1"/>
    <col min="7429" max="7430" width="10.7109375" style="460" customWidth="1"/>
    <col min="7431" max="7435" width="14.7109375" style="460" customWidth="1"/>
    <col min="7436" max="7436" width="10.7109375" style="460" customWidth="1"/>
    <col min="7437" max="7437" width="12.28515625" style="460" bestFit="1" customWidth="1"/>
    <col min="7438" max="7680" width="9.140625" style="460"/>
    <col min="7681" max="7681" width="7.85546875" style="460" customWidth="1"/>
    <col min="7682" max="7682" width="17.7109375" style="460" customWidth="1"/>
    <col min="7683" max="7683" width="50.85546875" style="460" customWidth="1"/>
    <col min="7684" max="7684" width="11.140625" style="460" customWidth="1"/>
    <col min="7685" max="7686" width="10.7109375" style="460" customWidth="1"/>
    <col min="7687" max="7691" width="14.7109375" style="460" customWidth="1"/>
    <col min="7692" max="7692" width="10.7109375" style="460" customWidth="1"/>
    <col min="7693" max="7693" width="12.28515625" style="460" bestFit="1" customWidth="1"/>
    <col min="7694" max="7936" width="9.140625" style="460"/>
    <col min="7937" max="7937" width="7.85546875" style="460" customWidth="1"/>
    <col min="7938" max="7938" width="17.7109375" style="460" customWidth="1"/>
    <col min="7939" max="7939" width="50.85546875" style="460" customWidth="1"/>
    <col min="7940" max="7940" width="11.140625" style="460" customWidth="1"/>
    <col min="7941" max="7942" width="10.7109375" style="460" customWidth="1"/>
    <col min="7943" max="7947" width="14.7109375" style="460" customWidth="1"/>
    <col min="7948" max="7948" width="10.7109375" style="460" customWidth="1"/>
    <col min="7949" max="7949" width="12.28515625" style="460" bestFit="1" customWidth="1"/>
    <col min="7950" max="8192" width="9.140625" style="460"/>
    <col min="8193" max="8193" width="7.85546875" style="460" customWidth="1"/>
    <col min="8194" max="8194" width="17.7109375" style="460" customWidth="1"/>
    <col min="8195" max="8195" width="50.85546875" style="460" customWidth="1"/>
    <col min="8196" max="8196" width="11.140625" style="460" customWidth="1"/>
    <col min="8197" max="8198" width="10.7109375" style="460" customWidth="1"/>
    <col min="8199" max="8203" width="14.7109375" style="460" customWidth="1"/>
    <col min="8204" max="8204" width="10.7109375" style="460" customWidth="1"/>
    <col min="8205" max="8205" width="12.28515625" style="460" bestFit="1" customWidth="1"/>
    <col min="8206" max="8448" width="9.140625" style="460"/>
    <col min="8449" max="8449" width="7.85546875" style="460" customWidth="1"/>
    <col min="8450" max="8450" width="17.7109375" style="460" customWidth="1"/>
    <col min="8451" max="8451" width="50.85546875" style="460" customWidth="1"/>
    <col min="8452" max="8452" width="11.140625" style="460" customWidth="1"/>
    <col min="8453" max="8454" width="10.7109375" style="460" customWidth="1"/>
    <col min="8455" max="8459" width="14.7109375" style="460" customWidth="1"/>
    <col min="8460" max="8460" width="10.7109375" style="460" customWidth="1"/>
    <col min="8461" max="8461" width="12.28515625" style="460" bestFit="1" customWidth="1"/>
    <col min="8462" max="8704" width="9.140625" style="460"/>
    <col min="8705" max="8705" width="7.85546875" style="460" customWidth="1"/>
    <col min="8706" max="8706" width="17.7109375" style="460" customWidth="1"/>
    <col min="8707" max="8707" width="50.85546875" style="460" customWidth="1"/>
    <col min="8708" max="8708" width="11.140625" style="460" customWidth="1"/>
    <col min="8709" max="8710" width="10.7109375" style="460" customWidth="1"/>
    <col min="8711" max="8715" width="14.7109375" style="460" customWidth="1"/>
    <col min="8716" max="8716" width="10.7109375" style="460" customWidth="1"/>
    <col min="8717" max="8717" width="12.28515625" style="460" bestFit="1" customWidth="1"/>
    <col min="8718" max="8960" width="9.140625" style="460"/>
    <col min="8961" max="8961" width="7.85546875" style="460" customWidth="1"/>
    <col min="8962" max="8962" width="17.7109375" style="460" customWidth="1"/>
    <col min="8963" max="8963" width="50.85546875" style="460" customWidth="1"/>
    <col min="8964" max="8964" width="11.140625" style="460" customWidth="1"/>
    <col min="8965" max="8966" width="10.7109375" style="460" customWidth="1"/>
    <col min="8967" max="8971" width="14.7109375" style="460" customWidth="1"/>
    <col min="8972" max="8972" width="10.7109375" style="460" customWidth="1"/>
    <col min="8973" max="8973" width="12.28515625" style="460" bestFit="1" customWidth="1"/>
    <col min="8974" max="9216" width="9.140625" style="460"/>
    <col min="9217" max="9217" width="7.85546875" style="460" customWidth="1"/>
    <col min="9218" max="9218" width="17.7109375" style="460" customWidth="1"/>
    <col min="9219" max="9219" width="50.85546875" style="460" customWidth="1"/>
    <col min="9220" max="9220" width="11.140625" style="460" customWidth="1"/>
    <col min="9221" max="9222" width="10.7109375" style="460" customWidth="1"/>
    <col min="9223" max="9227" width="14.7109375" style="460" customWidth="1"/>
    <col min="9228" max="9228" width="10.7109375" style="460" customWidth="1"/>
    <col min="9229" max="9229" width="12.28515625" style="460" bestFit="1" customWidth="1"/>
    <col min="9230" max="9472" width="9.140625" style="460"/>
    <col min="9473" max="9473" width="7.85546875" style="460" customWidth="1"/>
    <col min="9474" max="9474" width="17.7109375" style="460" customWidth="1"/>
    <col min="9475" max="9475" width="50.85546875" style="460" customWidth="1"/>
    <col min="9476" max="9476" width="11.140625" style="460" customWidth="1"/>
    <col min="9477" max="9478" width="10.7109375" style="460" customWidth="1"/>
    <col min="9479" max="9483" width="14.7109375" style="460" customWidth="1"/>
    <col min="9484" max="9484" width="10.7109375" style="460" customWidth="1"/>
    <col min="9485" max="9485" width="12.28515625" style="460" bestFit="1" customWidth="1"/>
    <col min="9486" max="9728" width="9.140625" style="460"/>
    <col min="9729" max="9729" width="7.85546875" style="460" customWidth="1"/>
    <col min="9730" max="9730" width="17.7109375" style="460" customWidth="1"/>
    <col min="9731" max="9731" width="50.85546875" style="460" customWidth="1"/>
    <col min="9732" max="9732" width="11.140625" style="460" customWidth="1"/>
    <col min="9733" max="9734" width="10.7109375" style="460" customWidth="1"/>
    <col min="9735" max="9739" width="14.7109375" style="460" customWidth="1"/>
    <col min="9740" max="9740" width="10.7109375" style="460" customWidth="1"/>
    <col min="9741" max="9741" width="12.28515625" style="460" bestFit="1" customWidth="1"/>
    <col min="9742" max="9984" width="9.140625" style="460"/>
    <col min="9985" max="9985" width="7.85546875" style="460" customWidth="1"/>
    <col min="9986" max="9986" width="17.7109375" style="460" customWidth="1"/>
    <col min="9987" max="9987" width="50.85546875" style="460" customWidth="1"/>
    <col min="9988" max="9988" width="11.140625" style="460" customWidth="1"/>
    <col min="9989" max="9990" width="10.7109375" style="460" customWidth="1"/>
    <col min="9991" max="9995" width="14.7109375" style="460" customWidth="1"/>
    <col min="9996" max="9996" width="10.7109375" style="460" customWidth="1"/>
    <col min="9997" max="9997" width="12.28515625" style="460" bestFit="1" customWidth="1"/>
    <col min="9998" max="10240" width="9.140625" style="460"/>
    <col min="10241" max="10241" width="7.85546875" style="460" customWidth="1"/>
    <col min="10242" max="10242" width="17.7109375" style="460" customWidth="1"/>
    <col min="10243" max="10243" width="50.85546875" style="460" customWidth="1"/>
    <col min="10244" max="10244" width="11.140625" style="460" customWidth="1"/>
    <col min="10245" max="10246" width="10.7109375" style="460" customWidth="1"/>
    <col min="10247" max="10251" width="14.7109375" style="460" customWidth="1"/>
    <col min="10252" max="10252" width="10.7109375" style="460" customWidth="1"/>
    <col min="10253" max="10253" width="12.28515625" style="460" bestFit="1" customWidth="1"/>
    <col min="10254" max="10496" width="9.140625" style="460"/>
    <col min="10497" max="10497" width="7.85546875" style="460" customWidth="1"/>
    <col min="10498" max="10498" width="17.7109375" style="460" customWidth="1"/>
    <col min="10499" max="10499" width="50.85546875" style="460" customWidth="1"/>
    <col min="10500" max="10500" width="11.140625" style="460" customWidth="1"/>
    <col min="10501" max="10502" width="10.7109375" style="460" customWidth="1"/>
    <col min="10503" max="10507" width="14.7109375" style="460" customWidth="1"/>
    <col min="10508" max="10508" width="10.7109375" style="460" customWidth="1"/>
    <col min="10509" max="10509" width="12.28515625" style="460" bestFit="1" customWidth="1"/>
    <col min="10510" max="10752" width="9.140625" style="460"/>
    <col min="10753" max="10753" width="7.85546875" style="460" customWidth="1"/>
    <col min="10754" max="10754" width="17.7109375" style="460" customWidth="1"/>
    <col min="10755" max="10755" width="50.85546875" style="460" customWidth="1"/>
    <col min="10756" max="10756" width="11.140625" style="460" customWidth="1"/>
    <col min="10757" max="10758" width="10.7109375" style="460" customWidth="1"/>
    <col min="10759" max="10763" width="14.7109375" style="460" customWidth="1"/>
    <col min="10764" max="10764" width="10.7109375" style="460" customWidth="1"/>
    <col min="10765" max="10765" width="12.28515625" style="460" bestFit="1" customWidth="1"/>
    <col min="10766" max="11008" width="9.140625" style="460"/>
    <col min="11009" max="11009" width="7.85546875" style="460" customWidth="1"/>
    <col min="11010" max="11010" width="17.7109375" style="460" customWidth="1"/>
    <col min="11011" max="11011" width="50.85546875" style="460" customWidth="1"/>
    <col min="11012" max="11012" width="11.140625" style="460" customWidth="1"/>
    <col min="11013" max="11014" width="10.7109375" style="460" customWidth="1"/>
    <col min="11015" max="11019" width="14.7109375" style="460" customWidth="1"/>
    <col min="11020" max="11020" width="10.7109375" style="460" customWidth="1"/>
    <col min="11021" max="11021" width="12.28515625" style="460" bestFit="1" customWidth="1"/>
    <col min="11022" max="11264" width="9.140625" style="460"/>
    <col min="11265" max="11265" width="7.85546875" style="460" customWidth="1"/>
    <col min="11266" max="11266" width="17.7109375" style="460" customWidth="1"/>
    <col min="11267" max="11267" width="50.85546875" style="460" customWidth="1"/>
    <col min="11268" max="11268" width="11.140625" style="460" customWidth="1"/>
    <col min="11269" max="11270" width="10.7109375" style="460" customWidth="1"/>
    <col min="11271" max="11275" width="14.7109375" style="460" customWidth="1"/>
    <col min="11276" max="11276" width="10.7109375" style="460" customWidth="1"/>
    <col min="11277" max="11277" width="12.28515625" style="460" bestFit="1" customWidth="1"/>
    <col min="11278" max="11520" width="9.140625" style="460"/>
    <col min="11521" max="11521" width="7.85546875" style="460" customWidth="1"/>
    <col min="11522" max="11522" width="17.7109375" style="460" customWidth="1"/>
    <col min="11523" max="11523" width="50.85546875" style="460" customWidth="1"/>
    <col min="11524" max="11524" width="11.140625" style="460" customWidth="1"/>
    <col min="11525" max="11526" width="10.7109375" style="460" customWidth="1"/>
    <col min="11527" max="11531" width="14.7109375" style="460" customWidth="1"/>
    <col min="11532" max="11532" width="10.7109375" style="460" customWidth="1"/>
    <col min="11533" max="11533" width="12.28515625" style="460" bestFit="1" customWidth="1"/>
    <col min="11534" max="11776" width="9.140625" style="460"/>
    <col min="11777" max="11777" width="7.85546875" style="460" customWidth="1"/>
    <col min="11778" max="11778" width="17.7109375" style="460" customWidth="1"/>
    <col min="11779" max="11779" width="50.85546875" style="460" customWidth="1"/>
    <col min="11780" max="11780" width="11.140625" style="460" customWidth="1"/>
    <col min="11781" max="11782" width="10.7109375" style="460" customWidth="1"/>
    <col min="11783" max="11787" width="14.7109375" style="460" customWidth="1"/>
    <col min="11788" max="11788" width="10.7109375" style="460" customWidth="1"/>
    <col min="11789" max="11789" width="12.28515625" style="460" bestFit="1" customWidth="1"/>
    <col min="11790" max="12032" width="9.140625" style="460"/>
    <col min="12033" max="12033" width="7.85546875" style="460" customWidth="1"/>
    <col min="12034" max="12034" width="17.7109375" style="460" customWidth="1"/>
    <col min="12035" max="12035" width="50.85546875" style="460" customWidth="1"/>
    <col min="12036" max="12036" width="11.140625" style="460" customWidth="1"/>
    <col min="12037" max="12038" width="10.7109375" style="460" customWidth="1"/>
    <col min="12039" max="12043" width="14.7109375" style="460" customWidth="1"/>
    <col min="12044" max="12044" width="10.7109375" style="460" customWidth="1"/>
    <col min="12045" max="12045" width="12.28515625" style="460" bestFit="1" customWidth="1"/>
    <col min="12046" max="12288" width="9.140625" style="460"/>
    <col min="12289" max="12289" width="7.85546875" style="460" customWidth="1"/>
    <col min="12290" max="12290" width="17.7109375" style="460" customWidth="1"/>
    <col min="12291" max="12291" width="50.85546875" style="460" customWidth="1"/>
    <col min="12292" max="12292" width="11.140625" style="460" customWidth="1"/>
    <col min="12293" max="12294" width="10.7109375" style="460" customWidth="1"/>
    <col min="12295" max="12299" width="14.7109375" style="460" customWidth="1"/>
    <col min="12300" max="12300" width="10.7109375" style="460" customWidth="1"/>
    <col min="12301" max="12301" width="12.28515625" style="460" bestFit="1" customWidth="1"/>
    <col min="12302" max="12544" width="9.140625" style="460"/>
    <col min="12545" max="12545" width="7.85546875" style="460" customWidth="1"/>
    <col min="12546" max="12546" width="17.7109375" style="460" customWidth="1"/>
    <col min="12547" max="12547" width="50.85546875" style="460" customWidth="1"/>
    <col min="12548" max="12548" width="11.140625" style="460" customWidth="1"/>
    <col min="12549" max="12550" width="10.7109375" style="460" customWidth="1"/>
    <col min="12551" max="12555" width="14.7109375" style="460" customWidth="1"/>
    <col min="12556" max="12556" width="10.7109375" style="460" customWidth="1"/>
    <col min="12557" max="12557" width="12.28515625" style="460" bestFit="1" customWidth="1"/>
    <col min="12558" max="12800" width="9.140625" style="460"/>
    <col min="12801" max="12801" width="7.85546875" style="460" customWidth="1"/>
    <col min="12802" max="12802" width="17.7109375" style="460" customWidth="1"/>
    <col min="12803" max="12803" width="50.85546875" style="460" customWidth="1"/>
    <col min="12804" max="12804" width="11.140625" style="460" customWidth="1"/>
    <col min="12805" max="12806" width="10.7109375" style="460" customWidth="1"/>
    <col min="12807" max="12811" width="14.7109375" style="460" customWidth="1"/>
    <col min="12812" max="12812" width="10.7109375" style="460" customWidth="1"/>
    <col min="12813" max="12813" width="12.28515625" style="460" bestFit="1" customWidth="1"/>
    <col min="12814" max="13056" width="9.140625" style="460"/>
    <col min="13057" max="13057" width="7.85546875" style="460" customWidth="1"/>
    <col min="13058" max="13058" width="17.7109375" style="460" customWidth="1"/>
    <col min="13059" max="13059" width="50.85546875" style="460" customWidth="1"/>
    <col min="13060" max="13060" width="11.140625" style="460" customWidth="1"/>
    <col min="13061" max="13062" width="10.7109375" style="460" customWidth="1"/>
    <col min="13063" max="13067" width="14.7109375" style="460" customWidth="1"/>
    <col min="13068" max="13068" width="10.7109375" style="460" customWidth="1"/>
    <col min="13069" max="13069" width="12.28515625" style="460" bestFit="1" customWidth="1"/>
    <col min="13070" max="13312" width="9.140625" style="460"/>
    <col min="13313" max="13313" width="7.85546875" style="460" customWidth="1"/>
    <col min="13314" max="13314" width="17.7109375" style="460" customWidth="1"/>
    <col min="13315" max="13315" width="50.85546875" style="460" customWidth="1"/>
    <col min="13316" max="13316" width="11.140625" style="460" customWidth="1"/>
    <col min="13317" max="13318" width="10.7109375" style="460" customWidth="1"/>
    <col min="13319" max="13323" width="14.7109375" style="460" customWidth="1"/>
    <col min="13324" max="13324" width="10.7109375" style="460" customWidth="1"/>
    <col min="13325" max="13325" width="12.28515625" style="460" bestFit="1" customWidth="1"/>
    <col min="13326" max="13568" width="9.140625" style="460"/>
    <col min="13569" max="13569" width="7.85546875" style="460" customWidth="1"/>
    <col min="13570" max="13570" width="17.7109375" style="460" customWidth="1"/>
    <col min="13571" max="13571" width="50.85546875" style="460" customWidth="1"/>
    <col min="13572" max="13572" width="11.140625" style="460" customWidth="1"/>
    <col min="13573" max="13574" width="10.7109375" style="460" customWidth="1"/>
    <col min="13575" max="13579" width="14.7109375" style="460" customWidth="1"/>
    <col min="13580" max="13580" width="10.7109375" style="460" customWidth="1"/>
    <col min="13581" max="13581" width="12.28515625" style="460" bestFit="1" customWidth="1"/>
    <col min="13582" max="13824" width="9.140625" style="460"/>
    <col min="13825" max="13825" width="7.85546875" style="460" customWidth="1"/>
    <col min="13826" max="13826" width="17.7109375" style="460" customWidth="1"/>
    <col min="13827" max="13827" width="50.85546875" style="460" customWidth="1"/>
    <col min="13828" max="13828" width="11.140625" style="460" customWidth="1"/>
    <col min="13829" max="13830" width="10.7109375" style="460" customWidth="1"/>
    <col min="13831" max="13835" width="14.7109375" style="460" customWidth="1"/>
    <col min="13836" max="13836" width="10.7109375" style="460" customWidth="1"/>
    <col min="13837" max="13837" width="12.28515625" style="460" bestFit="1" customWidth="1"/>
    <col min="13838" max="14080" width="9.140625" style="460"/>
    <col min="14081" max="14081" width="7.85546875" style="460" customWidth="1"/>
    <col min="14082" max="14082" width="17.7109375" style="460" customWidth="1"/>
    <col min="14083" max="14083" width="50.85546875" style="460" customWidth="1"/>
    <col min="14084" max="14084" width="11.140625" style="460" customWidth="1"/>
    <col min="14085" max="14086" width="10.7109375" style="460" customWidth="1"/>
    <col min="14087" max="14091" width="14.7109375" style="460" customWidth="1"/>
    <col min="14092" max="14092" width="10.7109375" style="460" customWidth="1"/>
    <col min="14093" max="14093" width="12.28515625" style="460" bestFit="1" customWidth="1"/>
    <col min="14094" max="14336" width="9.140625" style="460"/>
    <col min="14337" max="14337" width="7.85546875" style="460" customWidth="1"/>
    <col min="14338" max="14338" width="17.7109375" style="460" customWidth="1"/>
    <col min="14339" max="14339" width="50.85546875" style="460" customWidth="1"/>
    <col min="14340" max="14340" width="11.140625" style="460" customWidth="1"/>
    <col min="14341" max="14342" width="10.7109375" style="460" customWidth="1"/>
    <col min="14343" max="14347" width="14.7109375" style="460" customWidth="1"/>
    <col min="14348" max="14348" width="10.7109375" style="460" customWidth="1"/>
    <col min="14349" max="14349" width="12.28515625" style="460" bestFit="1" customWidth="1"/>
    <col min="14350" max="14592" width="9.140625" style="460"/>
    <col min="14593" max="14593" width="7.85546875" style="460" customWidth="1"/>
    <col min="14594" max="14594" width="17.7109375" style="460" customWidth="1"/>
    <col min="14595" max="14595" width="50.85546875" style="460" customWidth="1"/>
    <col min="14596" max="14596" width="11.140625" style="460" customWidth="1"/>
    <col min="14597" max="14598" width="10.7109375" style="460" customWidth="1"/>
    <col min="14599" max="14603" width="14.7109375" style="460" customWidth="1"/>
    <col min="14604" max="14604" width="10.7109375" style="460" customWidth="1"/>
    <col min="14605" max="14605" width="12.28515625" style="460" bestFit="1" customWidth="1"/>
    <col min="14606" max="14848" width="9.140625" style="460"/>
    <col min="14849" max="14849" width="7.85546875" style="460" customWidth="1"/>
    <col min="14850" max="14850" width="17.7109375" style="460" customWidth="1"/>
    <col min="14851" max="14851" width="50.85546875" style="460" customWidth="1"/>
    <col min="14852" max="14852" width="11.140625" style="460" customWidth="1"/>
    <col min="14853" max="14854" width="10.7109375" style="460" customWidth="1"/>
    <col min="14855" max="14859" width="14.7109375" style="460" customWidth="1"/>
    <col min="14860" max="14860" width="10.7109375" style="460" customWidth="1"/>
    <col min="14861" max="14861" width="12.28515625" style="460" bestFit="1" customWidth="1"/>
    <col min="14862" max="15104" width="9.140625" style="460"/>
    <col min="15105" max="15105" width="7.85546875" style="460" customWidth="1"/>
    <col min="15106" max="15106" width="17.7109375" style="460" customWidth="1"/>
    <col min="15107" max="15107" width="50.85546875" style="460" customWidth="1"/>
    <col min="15108" max="15108" width="11.140625" style="460" customWidth="1"/>
    <col min="15109" max="15110" width="10.7109375" style="460" customWidth="1"/>
    <col min="15111" max="15115" width="14.7109375" style="460" customWidth="1"/>
    <col min="15116" max="15116" width="10.7109375" style="460" customWidth="1"/>
    <col min="15117" max="15117" width="12.28515625" style="460" bestFit="1" customWidth="1"/>
    <col min="15118" max="15360" width="9.140625" style="460"/>
    <col min="15361" max="15361" width="7.85546875" style="460" customWidth="1"/>
    <col min="15362" max="15362" width="17.7109375" style="460" customWidth="1"/>
    <col min="15363" max="15363" width="50.85546875" style="460" customWidth="1"/>
    <col min="15364" max="15364" width="11.140625" style="460" customWidth="1"/>
    <col min="15365" max="15366" width="10.7109375" style="460" customWidth="1"/>
    <col min="15367" max="15371" width="14.7109375" style="460" customWidth="1"/>
    <col min="15372" max="15372" width="10.7109375" style="460" customWidth="1"/>
    <col min="15373" max="15373" width="12.28515625" style="460" bestFit="1" customWidth="1"/>
    <col min="15374" max="15616" width="9.140625" style="460"/>
    <col min="15617" max="15617" width="7.85546875" style="460" customWidth="1"/>
    <col min="15618" max="15618" width="17.7109375" style="460" customWidth="1"/>
    <col min="15619" max="15619" width="50.85546875" style="460" customWidth="1"/>
    <col min="15620" max="15620" width="11.140625" style="460" customWidth="1"/>
    <col min="15621" max="15622" width="10.7109375" style="460" customWidth="1"/>
    <col min="15623" max="15627" width="14.7109375" style="460" customWidth="1"/>
    <col min="15628" max="15628" width="10.7109375" style="460" customWidth="1"/>
    <col min="15629" max="15629" width="12.28515625" style="460" bestFit="1" customWidth="1"/>
    <col min="15630" max="15872" width="9.140625" style="460"/>
    <col min="15873" max="15873" width="7.85546875" style="460" customWidth="1"/>
    <col min="15874" max="15874" width="17.7109375" style="460" customWidth="1"/>
    <col min="15875" max="15875" width="50.85546875" style="460" customWidth="1"/>
    <col min="15876" max="15876" width="11.140625" style="460" customWidth="1"/>
    <col min="15877" max="15878" width="10.7109375" style="460" customWidth="1"/>
    <col min="15879" max="15883" width="14.7109375" style="460" customWidth="1"/>
    <col min="15884" max="15884" width="10.7109375" style="460" customWidth="1"/>
    <col min="15885" max="15885" width="12.28515625" style="460" bestFit="1" customWidth="1"/>
    <col min="15886" max="16128" width="9.140625" style="460"/>
    <col min="16129" max="16129" width="7.85546875" style="460" customWidth="1"/>
    <col min="16130" max="16130" width="17.7109375" style="460" customWidth="1"/>
    <col min="16131" max="16131" width="50.85546875" style="460" customWidth="1"/>
    <col min="16132" max="16132" width="11.140625" style="460" customWidth="1"/>
    <col min="16133" max="16134" width="10.7109375" style="460" customWidth="1"/>
    <col min="16135" max="16139" width="14.7109375" style="460" customWidth="1"/>
    <col min="16140" max="16140" width="10.7109375" style="460" customWidth="1"/>
    <col min="16141" max="16141" width="12.28515625" style="460" bestFit="1" customWidth="1"/>
    <col min="16142" max="16384" width="9.140625" style="460"/>
  </cols>
  <sheetData>
    <row r="1" spans="1:12" x14ac:dyDescent="0.25">
      <c r="A1" s="459" t="s">
        <v>304</v>
      </c>
      <c r="J1" s="459" t="s">
        <v>305</v>
      </c>
      <c r="K1" s="459"/>
      <c r="L1" s="459"/>
    </row>
    <row r="2" spans="1:12" x14ac:dyDescent="0.25">
      <c r="A2" s="459"/>
      <c r="J2" s="459"/>
      <c r="K2" s="459"/>
      <c r="L2" s="461"/>
    </row>
    <row r="3" spans="1:12" x14ac:dyDescent="0.25">
      <c r="A3" s="459" t="str">
        <f>CONCATENATE([44]Source!AI12," ",[44]Source!AJ12)</f>
        <v xml:space="preserve"> </v>
      </c>
      <c r="J3" s="812"/>
      <c r="K3" s="812"/>
      <c r="L3" s="812"/>
    </row>
    <row r="4" spans="1:12" x14ac:dyDescent="0.2">
      <c r="A4" s="459" t="str">
        <f>CONCATENATE([44]Source!L12," __________")</f>
        <v xml:space="preserve"> __________</v>
      </c>
      <c r="J4" s="813" t="str">
        <f>CONCATENATE(" __________",[44]Source!AF12)</f>
        <v xml:space="preserve"> __________</v>
      </c>
      <c r="K4" s="813"/>
      <c r="L4" s="813"/>
    </row>
    <row r="5" spans="1:12" x14ac:dyDescent="0.2">
      <c r="A5" s="462" t="s">
        <v>306</v>
      </c>
      <c r="J5" s="463" t="s">
        <v>306</v>
      </c>
      <c r="K5" s="459"/>
      <c r="L5" s="459"/>
    </row>
    <row r="7" spans="1:12" x14ac:dyDescent="0.25">
      <c r="A7" s="811"/>
      <c r="B7" s="811"/>
      <c r="C7" s="811"/>
      <c r="D7" s="811"/>
      <c r="E7" s="811"/>
      <c r="F7" s="811"/>
      <c r="G7" s="811"/>
      <c r="H7" s="811"/>
      <c r="I7" s="811"/>
      <c r="J7" s="811"/>
      <c r="K7" s="811"/>
      <c r="L7" s="811"/>
    </row>
    <row r="8" spans="1:12" x14ac:dyDescent="0.25">
      <c r="A8" s="811"/>
      <c r="B8" s="811"/>
      <c r="C8" s="811"/>
      <c r="D8" s="811"/>
      <c r="E8" s="811"/>
      <c r="F8" s="811"/>
      <c r="G8" s="811"/>
      <c r="H8" s="811"/>
      <c r="I8" s="811"/>
      <c r="J8" s="811"/>
      <c r="K8" s="811"/>
      <c r="L8" s="811"/>
    </row>
    <row r="9" spans="1:12" x14ac:dyDescent="0.25">
      <c r="A9" s="811"/>
      <c r="B9" s="811"/>
      <c r="C9" s="811"/>
      <c r="D9" s="811"/>
      <c r="E9" s="811"/>
      <c r="F9" s="811"/>
      <c r="G9" s="811"/>
      <c r="H9" s="811"/>
      <c r="I9" s="811"/>
      <c r="J9" s="811"/>
      <c r="K9" s="811"/>
      <c r="L9" s="811"/>
    </row>
    <row r="10" spans="1:12" x14ac:dyDescent="0.25">
      <c r="A10" s="811"/>
      <c r="B10" s="811"/>
      <c r="C10" s="811"/>
      <c r="D10" s="811"/>
      <c r="E10" s="811"/>
      <c r="F10" s="811"/>
      <c r="G10" s="811"/>
      <c r="H10" s="811"/>
      <c r="I10" s="811"/>
      <c r="J10" s="811"/>
      <c r="K10" s="811"/>
      <c r="L10" s="811"/>
    </row>
    <row r="11" spans="1:12" ht="6" customHeight="1" x14ac:dyDescent="0.25"/>
    <row r="12" spans="1:12" ht="19.5" x14ac:dyDescent="0.25">
      <c r="A12" s="818" t="s">
        <v>307</v>
      </c>
      <c r="B12" s="818"/>
      <c r="C12" s="818"/>
      <c r="D12" s="818"/>
      <c r="E12" s="818"/>
      <c r="F12" s="818"/>
      <c r="G12" s="818"/>
      <c r="H12" s="818"/>
      <c r="I12" s="818"/>
      <c r="J12" s="818"/>
      <c r="K12" s="818"/>
      <c r="L12" s="818"/>
    </row>
    <row r="13" spans="1:12" ht="19.5" x14ac:dyDescent="0.25">
      <c r="A13" s="819" t="str">
        <f>[44]Source!G20</f>
        <v>Строительство КЛ-10кВ ГНБ</v>
      </c>
      <c r="B13" s="819"/>
      <c r="C13" s="819"/>
      <c r="D13" s="819"/>
      <c r="E13" s="819"/>
      <c r="F13" s="819"/>
      <c r="G13" s="819"/>
      <c r="H13" s="819"/>
      <c r="I13" s="819"/>
      <c r="J13" s="819"/>
      <c r="K13" s="819"/>
      <c r="L13" s="819"/>
    </row>
    <row r="14" spans="1:12" ht="6" customHeight="1" x14ac:dyDescent="0.25"/>
    <row r="15" spans="1:12" ht="14.25" customHeight="1" x14ac:dyDescent="0.25">
      <c r="J15" s="464" t="s">
        <v>308</v>
      </c>
      <c r="K15" s="464" t="s">
        <v>309</v>
      </c>
    </row>
    <row r="16" spans="1:12" x14ac:dyDescent="0.25">
      <c r="I16" s="461" t="s">
        <v>310</v>
      </c>
      <c r="J16" s="465">
        <f>ROUND(SUM([44]Source!DY28:DY160)/1000,3)</f>
        <v>534.05499999999995</v>
      </c>
      <c r="K16" s="465">
        <f>ROUND([44]Source!F223/1000,3)</f>
        <v>535.86699999999996</v>
      </c>
      <c r="L16" s="459" t="s">
        <v>311</v>
      </c>
    </row>
    <row r="17" spans="1:12" x14ac:dyDescent="0.25">
      <c r="I17" s="466" t="s">
        <v>312</v>
      </c>
      <c r="J17" s="467">
        <f>ROUND(SUM([44]Source!DZ28:DZ160)/1000,3)</f>
        <v>530.62300000000005</v>
      </c>
      <c r="K17" s="467">
        <f>ROUND([44]Source!F209/1000,3)</f>
        <v>532.43600000000004</v>
      </c>
      <c r="L17" s="460" t="s">
        <v>311</v>
      </c>
    </row>
    <row r="18" spans="1:12" x14ac:dyDescent="0.25">
      <c r="I18" s="466" t="s">
        <v>313</v>
      </c>
      <c r="J18" s="467">
        <f>ROUND(SUM([44]Source!EA28:EA160)/1000,3)</f>
        <v>3.2029999999999998</v>
      </c>
      <c r="K18" s="467">
        <f>ROUND([44]Source!F210/1000,3)</f>
        <v>3.2029999999999998</v>
      </c>
      <c r="L18" s="460" t="s">
        <v>311</v>
      </c>
    </row>
    <row r="19" spans="1:12" x14ac:dyDescent="0.25">
      <c r="I19" s="466" t="s">
        <v>314</v>
      </c>
      <c r="J19" s="467">
        <f>ROUND(SUM([44]Source!EB28:EB160)/1000,3)</f>
        <v>0</v>
      </c>
      <c r="K19" s="467">
        <f>ROUND([44]Source!F201/1000,3)</f>
        <v>0</v>
      </c>
      <c r="L19" s="460" t="s">
        <v>311</v>
      </c>
    </row>
    <row r="20" spans="1:12" x14ac:dyDescent="0.25">
      <c r="I20" s="466" t="s">
        <v>315</v>
      </c>
      <c r="J20" s="467">
        <f>ROUND(SUM([44]Source!EC28:EC160)/1000,3)</f>
        <v>0.22800000000000001</v>
      </c>
      <c r="K20" s="467">
        <f>ROUND([44]Source!F211/1000,3)</f>
        <v>0.22800000000000001</v>
      </c>
      <c r="L20" s="460" t="s">
        <v>311</v>
      </c>
    </row>
    <row r="21" spans="1:12" x14ac:dyDescent="0.25">
      <c r="I21" s="461" t="s">
        <v>316</v>
      </c>
      <c r="J21" s="468">
        <f>ROUND([44]Source!F214,3)</f>
        <v>263.18</v>
      </c>
      <c r="K21" s="468">
        <f>ROUND([44]Source!F214,3)</f>
        <v>263.18</v>
      </c>
      <c r="L21" s="459" t="s">
        <v>317</v>
      </c>
    </row>
    <row r="22" spans="1:12" x14ac:dyDescent="0.25">
      <c r="A22" s="460" t="s">
        <v>318</v>
      </c>
      <c r="I22" s="461" t="s">
        <v>319</v>
      </c>
      <c r="J22" s="469">
        <f>ROUND(SUM([44]Source!ED28:ED160)/1000,3)</f>
        <v>2.472</v>
      </c>
      <c r="K22" s="469">
        <f>ROUND([44]Source!F207/1000,3)</f>
        <v>2.472</v>
      </c>
      <c r="L22" s="459" t="s">
        <v>311</v>
      </c>
    </row>
    <row r="23" spans="1:12" ht="3.95" customHeight="1" thickBot="1" x14ac:dyDescent="0.3"/>
    <row r="24" spans="1:12" ht="15" thickBot="1" x14ac:dyDescent="0.3">
      <c r="A24" s="820" t="s">
        <v>62</v>
      </c>
      <c r="B24" s="820" t="s">
        <v>320</v>
      </c>
      <c r="C24" s="820" t="s">
        <v>271</v>
      </c>
      <c r="D24" s="820" t="s">
        <v>321</v>
      </c>
      <c r="E24" s="820" t="s">
        <v>322</v>
      </c>
      <c r="F24" s="820" t="s">
        <v>323</v>
      </c>
      <c r="G24" s="820" t="s">
        <v>324</v>
      </c>
      <c r="H24" s="820" t="s">
        <v>325</v>
      </c>
      <c r="I24" s="820" t="s">
        <v>326</v>
      </c>
      <c r="J24" s="820" t="s">
        <v>327</v>
      </c>
      <c r="K24" s="820" t="s">
        <v>328</v>
      </c>
      <c r="L24" s="820" t="s">
        <v>329</v>
      </c>
    </row>
    <row r="25" spans="1:12" ht="15" thickBot="1" x14ac:dyDescent="0.3">
      <c r="A25" s="820"/>
      <c r="B25" s="820"/>
      <c r="C25" s="820"/>
      <c r="D25" s="820"/>
      <c r="E25" s="820"/>
      <c r="F25" s="820"/>
      <c r="G25" s="820"/>
      <c r="H25" s="820"/>
      <c r="I25" s="820"/>
      <c r="J25" s="820"/>
      <c r="K25" s="820"/>
      <c r="L25" s="820"/>
    </row>
    <row r="26" spans="1:12" ht="15" thickBot="1" x14ac:dyDescent="0.3">
      <c r="A26" s="820"/>
      <c r="B26" s="820"/>
      <c r="C26" s="820"/>
      <c r="D26" s="820"/>
      <c r="E26" s="820"/>
      <c r="F26" s="820"/>
      <c r="G26" s="820"/>
      <c r="H26" s="820"/>
      <c r="I26" s="820"/>
      <c r="J26" s="820"/>
      <c r="K26" s="820"/>
      <c r="L26" s="820"/>
    </row>
    <row r="27" spans="1:12" ht="15" thickBot="1" x14ac:dyDescent="0.3">
      <c r="A27" s="820"/>
      <c r="B27" s="820"/>
      <c r="C27" s="820"/>
      <c r="D27" s="820"/>
      <c r="E27" s="820"/>
      <c r="F27" s="820"/>
      <c r="G27" s="820"/>
      <c r="H27" s="820"/>
      <c r="I27" s="820"/>
      <c r="J27" s="820"/>
      <c r="K27" s="820"/>
      <c r="L27" s="820"/>
    </row>
    <row r="28" spans="1:12" ht="15" thickBot="1" x14ac:dyDescent="0.3">
      <c r="A28" s="820"/>
      <c r="B28" s="820"/>
      <c r="C28" s="820"/>
      <c r="D28" s="820"/>
      <c r="E28" s="820"/>
      <c r="F28" s="820"/>
      <c r="G28" s="820"/>
      <c r="H28" s="820"/>
      <c r="I28" s="820"/>
      <c r="J28" s="820"/>
      <c r="K28" s="820"/>
      <c r="L28" s="820"/>
    </row>
    <row r="29" spans="1:12" ht="15" thickBot="1" x14ac:dyDescent="0.3">
      <c r="A29" s="470">
        <v>1</v>
      </c>
      <c r="B29" s="470">
        <v>2</v>
      </c>
      <c r="C29" s="470">
        <v>3</v>
      </c>
      <c r="D29" s="470">
        <v>4</v>
      </c>
      <c r="E29" s="470">
        <v>5</v>
      </c>
      <c r="F29" s="470">
        <v>6</v>
      </c>
      <c r="G29" s="470">
        <v>7</v>
      </c>
      <c r="H29" s="470">
        <v>8</v>
      </c>
      <c r="I29" s="470">
        <v>9</v>
      </c>
      <c r="J29" s="470">
        <v>10</v>
      </c>
      <c r="K29" s="470">
        <v>11</v>
      </c>
      <c r="L29" s="470">
        <v>12</v>
      </c>
    </row>
    <row r="30" spans="1:12" s="472" customFormat="1" ht="15" x14ac:dyDescent="0.25">
      <c r="A30" s="814" t="s">
        <v>330</v>
      </c>
      <c r="B30" s="815"/>
      <c r="C30" s="471" t="str">
        <f>[44]Source!G24</f>
        <v>Строительно-монтажные работы</v>
      </c>
      <c r="L30" s="473"/>
    </row>
    <row r="31" spans="1:12" ht="6" customHeight="1" x14ac:dyDescent="0.25">
      <c r="A31" s="474"/>
      <c r="L31" s="475"/>
    </row>
    <row r="32" spans="1:12" s="481" customFormat="1" ht="42.75" x14ac:dyDescent="0.25">
      <c r="A32" s="476" t="str">
        <f>[44]Source!E28</f>
        <v>1</v>
      </c>
      <c r="B32" s="477" t="str">
        <f>CONCATENATE([44]Source!F28,"                       ", [44]Source!EO28)</f>
        <v xml:space="preserve">33-04-016-2                       </v>
      </c>
      <c r="C32" s="478" t="str">
        <f>[44]Source!G28</f>
        <v>Развозка конструкций и материалов опор ВЛ 0,38-10 кВ по трассе одностоечных железобетонных опор</v>
      </c>
      <c r="D32" s="479" t="str">
        <f>[44]Source!H28</f>
        <v>шт.</v>
      </c>
      <c r="E32" s="480">
        <v>2</v>
      </c>
      <c r="F32" s="480"/>
      <c r="G32" s="480">
        <f>ROUND([44]Source!AB28+[44]Source!HA28,3)</f>
        <v>47.63</v>
      </c>
      <c r="H32" s="480">
        <f>ROUND(([44]Source!AB28+[44]Source!HA28)*[44]Source!I28,3)</f>
        <v>95.26</v>
      </c>
      <c r="I32" s="480"/>
      <c r="J32" s="480"/>
      <c r="K32" s="480">
        <f>ROUND([44]Source!O28,2)</f>
        <v>95.26</v>
      </c>
      <c r="L32" s="480"/>
    </row>
    <row r="33" spans="1:12" x14ac:dyDescent="0.25">
      <c r="A33" s="482"/>
      <c r="B33" s="482"/>
      <c r="C33" s="474" t="s">
        <v>331</v>
      </c>
      <c r="D33" s="483"/>
      <c r="E33" s="483"/>
      <c r="F33" s="484" t="str">
        <f>IF([44]Source!DG28="","-",[44]Source!DG28)</f>
        <v>-</v>
      </c>
      <c r="G33" s="483">
        <f>ROUND([44]Source!AF28,3)</f>
        <v>3.47</v>
      </c>
      <c r="H33" s="483">
        <f>ROUND([44]Source!AF28*[44]Source!I28,3)</f>
        <v>6.94</v>
      </c>
      <c r="I33" s="485" t="str">
        <f>[44]Source!BO28</f>
        <v>33-04-016-2</v>
      </c>
      <c r="J33" s="483">
        <f>[44]Source!BA28</f>
        <v>1</v>
      </c>
      <c r="K33" s="483">
        <f>ROUND([44]Source!S28,2)</f>
        <v>6.94</v>
      </c>
      <c r="L33" s="483"/>
    </row>
    <row r="34" spans="1:12" x14ac:dyDescent="0.25">
      <c r="A34" s="482"/>
      <c r="B34" s="482"/>
      <c r="C34" s="474" t="s">
        <v>332</v>
      </c>
      <c r="D34" s="483"/>
      <c r="E34" s="483"/>
      <c r="F34" s="484" t="str">
        <f>IF([44]Source!DE28="","-",[44]Source!DE28)</f>
        <v>-</v>
      </c>
      <c r="G34" s="483">
        <f>ROUND([44]Source!AD28,3)</f>
        <v>44.16</v>
      </c>
      <c r="H34" s="483">
        <f>ROUND([44]Source!AD28*[44]Source!I28,3)</f>
        <v>88.32</v>
      </c>
      <c r="I34" s="485"/>
      <c r="J34" s="483">
        <f>[44]Source!BB28</f>
        <v>1</v>
      </c>
      <c r="K34" s="483">
        <f>ROUND([44]Source!Q28,2)</f>
        <v>88.32</v>
      </c>
      <c r="L34" s="483"/>
    </row>
    <row r="35" spans="1:12" x14ac:dyDescent="0.25">
      <c r="A35" s="482"/>
      <c r="B35" s="482"/>
      <c r="C35" s="474" t="s">
        <v>333</v>
      </c>
      <c r="D35" s="483"/>
      <c r="E35" s="483"/>
      <c r="F35" s="484" t="str">
        <f>IF([44]Source!DF28="","-",[44]Source!DF28)</f>
        <v>-</v>
      </c>
      <c r="G35" s="483">
        <f>ROUND([44]Source!AE28,3)</f>
        <v>6.25</v>
      </c>
      <c r="H35" s="483">
        <f>ROUND([44]Source!AE28*[44]Source!I28,3)</f>
        <v>12.5</v>
      </c>
      <c r="I35" s="485"/>
      <c r="J35" s="483">
        <f>[44]Source!BS28</f>
        <v>1</v>
      </c>
      <c r="K35" s="483">
        <f>ROUND([44]Source!R28,2)</f>
        <v>12.5</v>
      </c>
      <c r="L35" s="483"/>
    </row>
    <row r="36" spans="1:12" x14ac:dyDescent="0.25">
      <c r="A36" s="482"/>
      <c r="B36" s="482"/>
      <c r="C36" s="474" t="s">
        <v>334</v>
      </c>
      <c r="D36" s="483"/>
      <c r="E36" s="483">
        <f>ROUND([44]Source!AH28,2)</f>
        <v>0.44</v>
      </c>
      <c r="F36" s="484" t="str">
        <f>IF([44]Source!DD28="","-",[44]Source!DD28)</f>
        <v>-</v>
      </c>
      <c r="G36" s="483">
        <f>ROUND([44]Source!AC28+[44]Source!HA28,3)</f>
        <v>0</v>
      </c>
      <c r="H36" s="483"/>
      <c r="I36" s="485"/>
      <c r="J36" s="483">
        <f>[44]Source!BC28</f>
        <v>1</v>
      </c>
      <c r="K36" s="483"/>
      <c r="L36" s="483">
        <f>ROUND([44]Source!U28,2)</f>
        <v>0.88</v>
      </c>
    </row>
    <row r="37" spans="1:12" x14ac:dyDescent="0.25">
      <c r="A37" s="482"/>
      <c r="B37" s="482"/>
      <c r="C37" s="474" t="s">
        <v>335</v>
      </c>
      <c r="D37" s="483"/>
      <c r="E37" s="486" t="str">
        <f>CONCATENATE([44]Source!BZ28,"%")</f>
        <v>105%</v>
      </c>
      <c r="F37" s="483"/>
      <c r="G37" s="483">
        <f>ROUND(([44]Source!AO28+ [44]Source!AN28)*[44]Source!AT28/100,3)</f>
        <v>10.206</v>
      </c>
      <c r="H37" s="483">
        <f>ROUND(([44]Source!AE28+ [44]Source!AF28)*[44]Source!AT28/100*[44]Source!I28,2)</f>
        <v>20.41</v>
      </c>
      <c r="I37" s="483"/>
      <c r="J37" s="483" t="str">
        <f>CONCATENATE([44]Source!AT28,"%")</f>
        <v>105%</v>
      </c>
      <c r="K37" s="483">
        <f>ROUND([44]Source!X28,2)</f>
        <v>20.41</v>
      </c>
      <c r="L37" s="483"/>
    </row>
    <row r="38" spans="1:12" x14ac:dyDescent="0.25">
      <c r="A38" s="482"/>
      <c r="B38" s="482"/>
      <c r="C38" s="474" t="s">
        <v>336</v>
      </c>
      <c r="D38" s="487"/>
      <c r="E38" s="488" t="str">
        <f>CONCATENATE([44]Source!CA28,"%")</f>
        <v>60%</v>
      </c>
      <c r="F38" s="487"/>
      <c r="G38" s="487">
        <f>ROUND(([44]Source!AO28+ [44]Source!AN28)*[44]Source!AU28/100,3)</f>
        <v>5.8319999999999999</v>
      </c>
      <c r="H38" s="487">
        <f>ROUND(([44]Source!AE28+ [44]Source!AF28)*[44]Source!AU28/100*[44]Source!I28,2)</f>
        <v>11.66</v>
      </c>
      <c r="I38" s="487"/>
      <c r="J38" s="487" t="str">
        <f>CONCATENATE([44]Source!AU28,"%")</f>
        <v>60%</v>
      </c>
      <c r="K38" s="487">
        <f>ROUND([44]Source!Y28,2)</f>
        <v>11.66</v>
      </c>
      <c r="L38" s="487"/>
    </row>
    <row r="39" spans="1:12" x14ac:dyDescent="0.25">
      <c r="A39" s="482"/>
      <c r="B39" s="482"/>
      <c r="C39" s="474"/>
      <c r="D39" s="489"/>
      <c r="E39" s="489"/>
      <c r="F39" s="489"/>
      <c r="G39" s="489">
        <f>ROUND(([44]Source!AO28+ [44]Source!AN28)/100*([44]Source!AT28+[44]Source!AU28)+[44]Source!AK28,2)</f>
        <v>63.67</v>
      </c>
      <c r="H39" s="489">
        <f>ROUND([44]Source!DY28,2)</f>
        <v>127.34</v>
      </c>
      <c r="I39" s="489"/>
      <c r="J39" s="489"/>
      <c r="K39" s="489">
        <f>ROUND([44]Source!O28+[44]Source!HB28+[44]Source!X28+[44]Source!Y28,2)</f>
        <v>127.33</v>
      </c>
      <c r="L39" s="489">
        <f>ROUND([44]Source!U28,2)</f>
        <v>0.88</v>
      </c>
    </row>
    <row r="40" spans="1:12" x14ac:dyDescent="0.25">
      <c r="A40" s="490"/>
      <c r="B40" s="490" t="str">
        <f>[44]SmtRes!I1</f>
        <v>1-1025-69</v>
      </c>
      <c r="C40" s="490" t="str">
        <f>[44]SmtRes!K1</f>
        <v>Рабочий строитель среднего разряда 2,5</v>
      </c>
      <c r="D40" s="490" t="str">
        <f>[44]SmtRes!O1</f>
        <v>чел.-ч</v>
      </c>
      <c r="E40" s="490">
        <f>[44]SmtRes!Y1*[44]Source!I28</f>
        <v>0.88</v>
      </c>
      <c r="F40" s="490">
        <f>[44]SmtRes!AU1</f>
        <v>0</v>
      </c>
      <c r="G40" s="490">
        <f>ROUND(([44]SmtRes!AE1+[44]SmtRes!AF1+[44]SmtRes!AH1),2)</f>
        <v>7.88</v>
      </c>
      <c r="H40" s="490">
        <f>ROUND(([44]SmtRes!AE1+[44]SmtRes!AF1+[44]SmtRes!AH1)*[44]SmtRes!Y1*[44]Source!I28,2)</f>
        <v>6.93</v>
      </c>
      <c r="I40" s="490" t="str">
        <f>[44]Source!BO28</f>
        <v>33-04-016-2</v>
      </c>
      <c r="J40" s="490">
        <f>IF([44]SmtRes!H1=1,[44]Source!BA28,IF([44]SmtRes!H1=2,[44]Source!BB28,[44]Source!BC28))</f>
        <v>1</v>
      </c>
      <c r="K40" s="490">
        <f>ROUND(([44]SmtRes!AA1+[44]SmtRes!AB1+[44]SmtRes!AD1)*[44]SmtRes!Y1*[44]Source!I28*J40,2)</f>
        <v>6.93</v>
      </c>
      <c r="L40" s="490"/>
    </row>
    <row r="41" spans="1:12" x14ac:dyDescent="0.25">
      <c r="A41" s="490"/>
      <c r="B41" s="490" t="str">
        <f>[44]SmtRes!I2</f>
        <v>2</v>
      </c>
      <c r="C41" s="490" t="str">
        <f>[44]SmtRes!K2</f>
        <v>Затраты труда машинистов</v>
      </c>
      <c r="D41" s="490" t="str">
        <f>[44]SmtRes!O2</f>
        <v>чел.час</v>
      </c>
      <c r="E41" s="490">
        <f>[44]SmtRes!Y2*[44]Source!I28</f>
        <v>0.96</v>
      </c>
      <c r="F41" s="490">
        <f>[44]SmtRes!AU2</f>
        <v>0</v>
      </c>
      <c r="G41" s="490">
        <f>ROUND(([44]SmtRes!AE2+[44]SmtRes!AF2+[44]SmtRes!AH2),2)</f>
        <v>0</v>
      </c>
      <c r="H41" s="490">
        <f>ROUND(([44]SmtRes!AE2+[44]SmtRes!AF2+[44]SmtRes!AH2)*[44]SmtRes!Y2*[44]Source!I28,2)</f>
        <v>0</v>
      </c>
      <c r="I41" s="490" t="str">
        <f>[44]Source!BO28</f>
        <v>33-04-016-2</v>
      </c>
      <c r="J41" s="490">
        <f>IF([44]SmtRes!H2=1,[44]Source!BA28,IF([44]SmtRes!H2=2,[44]Source!BB28,[44]Source!BC28))</f>
        <v>1</v>
      </c>
      <c r="K41" s="490">
        <f>ROUND(([44]SmtRes!AA2+[44]SmtRes!AB2+[44]SmtRes!AD2)*[44]SmtRes!Y2*[44]Source!I28*J41,2)</f>
        <v>0</v>
      </c>
      <c r="L41" s="490"/>
    </row>
    <row r="42" spans="1:12" x14ac:dyDescent="0.25">
      <c r="A42" s="490"/>
      <c r="B42" s="490" t="str">
        <f>[44]SmtRes!I3</f>
        <v>010201</v>
      </c>
      <c r="C42" s="490" t="str">
        <f>[44]SmtRes!K3</f>
        <v>Прицепы тракторные 2 т</v>
      </c>
      <c r="D42" s="490" t="str">
        <f>[44]SmtRes!O3</f>
        <v>маш.-ч</v>
      </c>
      <c r="E42" s="490">
        <f>[44]SmtRes!Y3*[44]Source!I28</f>
        <v>0.48</v>
      </c>
      <c r="F42" s="490">
        <f>[44]SmtRes!AU3</f>
        <v>0</v>
      </c>
      <c r="G42" s="490">
        <f>ROUND(([44]SmtRes!AE3+[44]SmtRes!AF3+[44]SmtRes!AH3),2)</f>
        <v>4.01</v>
      </c>
      <c r="H42" s="490">
        <f>ROUND(([44]SmtRes!AE3+[44]SmtRes!AF3+[44]SmtRes!AH3)*[44]SmtRes!Y3*[44]Source!I28,2)</f>
        <v>1.92</v>
      </c>
      <c r="I42" s="490" t="str">
        <f>[44]Source!BO28</f>
        <v>33-04-016-2</v>
      </c>
      <c r="J42" s="490">
        <f>IF([44]SmtRes!H3=1,[44]Source!BA28,IF([44]SmtRes!H3=2,[44]Source!BB28,[44]Source!BC28))</f>
        <v>1</v>
      </c>
      <c r="K42" s="490">
        <f>ROUND(([44]SmtRes!AA3+[44]SmtRes!AB3+[44]SmtRes!AD3)*[44]SmtRes!Y3*[44]Source!I28,2)</f>
        <v>8.4700000000000006</v>
      </c>
      <c r="L42" s="490"/>
    </row>
    <row r="43" spans="1:12" ht="28.5" x14ac:dyDescent="0.25">
      <c r="A43" s="490"/>
      <c r="B43" s="490" t="str">
        <f>[44]SmtRes!I4</f>
        <v>010410</v>
      </c>
      <c r="C43" s="490" t="str">
        <f>[44]SmtRes!K4</f>
        <v>Тракторы на пневмоколесном ходу при работе на других видах строительства 59 кВт (80 л.с.)</v>
      </c>
      <c r="D43" s="490" t="str">
        <f>[44]SmtRes!O4</f>
        <v>маш.-ч</v>
      </c>
      <c r="E43" s="490">
        <f>[44]SmtRes!Y4*[44]Source!I28</f>
        <v>0.48</v>
      </c>
      <c r="F43" s="490">
        <f>[44]SmtRes!AU4</f>
        <v>0</v>
      </c>
      <c r="G43" s="490">
        <f>ROUND(([44]SmtRes!AE4+[44]SmtRes!AF4+[44]SmtRes!AH4),2)</f>
        <v>71.540000000000006</v>
      </c>
      <c r="H43" s="490">
        <f>ROUND(([44]SmtRes!AE4+[44]SmtRes!AF4+[44]SmtRes!AH4)*[44]SmtRes!Y4*[44]Source!I28,2)</f>
        <v>34.340000000000003</v>
      </c>
      <c r="I43" s="490" t="str">
        <f>[44]Source!BO28</f>
        <v>33-04-016-2</v>
      </c>
      <c r="J43" s="490">
        <f>IF([44]SmtRes!H4=1,[44]Source!BA28,IF([44]SmtRes!H4=2,[44]Source!BB28,[44]Source!BC28))</f>
        <v>1</v>
      </c>
      <c r="K43" s="490">
        <f>ROUND(([44]SmtRes!AA4+[44]SmtRes!AB4+[44]SmtRes!AD4)*[44]SmtRes!Y4*[44]Source!I28,2)</f>
        <v>300.47000000000003</v>
      </c>
      <c r="L43" s="490"/>
    </row>
    <row r="44" spans="1:12" ht="28.5" x14ac:dyDescent="0.25">
      <c r="A44" s="490"/>
      <c r="B44" s="490" t="str">
        <f>[44]SmtRes!I5</f>
        <v>021141</v>
      </c>
      <c r="C44" s="490" t="str">
        <f>[44]SmtRes!K5</f>
        <v>Краны на автомобильном ходу при работе на других видах строительства 10 т</v>
      </c>
      <c r="D44" s="491" t="str">
        <f>[44]SmtRes!O5</f>
        <v>маш.-ч</v>
      </c>
      <c r="E44" s="491">
        <f>[44]SmtRes!Y5*[44]Source!I28</f>
        <v>0.48</v>
      </c>
      <c r="F44" s="491">
        <f>[44]SmtRes!AU5</f>
        <v>0</v>
      </c>
      <c r="G44" s="491">
        <f>ROUND(([44]SmtRes!AE5+[44]SmtRes!AF5+[44]SmtRes!AH5),2)</f>
        <v>108.45</v>
      </c>
      <c r="H44" s="491">
        <f>ROUND(([44]SmtRes!AE5+[44]SmtRes!AF5+[44]SmtRes!AH5)*[44]SmtRes!Y5*[44]Source!I28,2)</f>
        <v>52.06</v>
      </c>
      <c r="I44" s="491" t="str">
        <f>[44]Source!BO28</f>
        <v>33-04-016-2</v>
      </c>
      <c r="J44" s="491">
        <f>IF([44]SmtRes!H5=1,[44]Source!BA28,IF([44]SmtRes!H5=2,[44]Source!BB28,[44]Source!BC28))</f>
        <v>1</v>
      </c>
      <c r="K44" s="491">
        <f>ROUND(([44]SmtRes!AA5+[44]SmtRes!AB5+[44]SmtRes!AD5)*[44]SmtRes!Y5*[44]Source!I28,2)</f>
        <v>301.41000000000003</v>
      </c>
      <c r="L44" s="491"/>
    </row>
    <row r="45" spans="1:12" s="481" customFormat="1" ht="42.75" x14ac:dyDescent="0.25">
      <c r="A45" s="492" t="str">
        <f>[44]Source!E29</f>
        <v>2</v>
      </c>
      <c r="B45" s="493" t="str">
        <f>CONCATENATE([44]Source!F29,"                       ", [44]Source!EO29)</f>
        <v xml:space="preserve">33-04-016-5                       </v>
      </c>
      <c r="C45" s="494" t="str">
        <f>[44]Source!G29</f>
        <v>Развозка конструкций и материалов опор ВЛ 0,38-10 кВ по трассе материалов оснастки одностоечных опор</v>
      </c>
      <c r="D45" s="495" t="str">
        <f>[44]Source!H29</f>
        <v>шт.</v>
      </c>
      <c r="E45" s="496">
        <v>2</v>
      </c>
      <c r="F45" s="496"/>
      <c r="G45" s="496">
        <f>ROUND([44]Source!AB29+[44]Source!HA29,3)</f>
        <v>12.55</v>
      </c>
      <c r="H45" s="496">
        <f>ROUND(([44]Source!AB29+[44]Source!HA29)*[44]Source!I29,3)</f>
        <v>25.1</v>
      </c>
      <c r="I45" s="496"/>
      <c r="J45" s="496"/>
      <c r="K45" s="496">
        <f>ROUND([44]Source!O29,2)</f>
        <v>25.1</v>
      </c>
      <c r="L45" s="496"/>
    </row>
    <row r="46" spans="1:12" x14ac:dyDescent="0.25">
      <c r="A46" s="482"/>
      <c r="B46" s="482"/>
      <c r="C46" s="474" t="s">
        <v>331</v>
      </c>
      <c r="D46" s="483"/>
      <c r="E46" s="483"/>
      <c r="F46" s="484" t="str">
        <f>IF([44]Source!DG29="","-",[44]Source!DG29)</f>
        <v>-</v>
      </c>
      <c r="G46" s="483">
        <f>ROUND([44]Source!AF29,3)</f>
        <v>1.97</v>
      </c>
      <c r="H46" s="483">
        <f>ROUND([44]Source!AF29*[44]Source!I29,3)</f>
        <v>3.94</v>
      </c>
      <c r="I46" s="485" t="str">
        <f>[44]Source!BO29</f>
        <v>33-04-016-5</v>
      </c>
      <c r="J46" s="483">
        <f>[44]Source!BA29</f>
        <v>1</v>
      </c>
      <c r="K46" s="483">
        <f>ROUND([44]Source!S29,2)</f>
        <v>3.94</v>
      </c>
      <c r="L46" s="483"/>
    </row>
    <row r="47" spans="1:12" x14ac:dyDescent="0.25">
      <c r="A47" s="482"/>
      <c r="B47" s="482"/>
      <c r="C47" s="474" t="s">
        <v>332</v>
      </c>
      <c r="D47" s="483"/>
      <c r="E47" s="483"/>
      <c r="F47" s="484" t="str">
        <f>IF([44]Source!DE29="","-",[44]Source!DE29)</f>
        <v>-</v>
      </c>
      <c r="G47" s="483">
        <f>ROUND([44]Source!AD29,3)</f>
        <v>10.58</v>
      </c>
      <c r="H47" s="483">
        <f>ROUND([44]Source!AD29*[44]Source!I29,3)</f>
        <v>21.16</v>
      </c>
      <c r="I47" s="485"/>
      <c r="J47" s="483">
        <f>[44]Source!BB29</f>
        <v>1</v>
      </c>
      <c r="K47" s="483">
        <f>ROUND([44]Source!Q29,2)</f>
        <v>21.16</v>
      </c>
      <c r="L47" s="483"/>
    </row>
    <row r="48" spans="1:12" x14ac:dyDescent="0.25">
      <c r="A48" s="482"/>
      <c r="B48" s="482"/>
      <c r="C48" s="474" t="s">
        <v>333</v>
      </c>
      <c r="D48" s="483"/>
      <c r="E48" s="483"/>
      <c r="F48" s="484" t="str">
        <f>IF([44]Source!DF29="","-",[44]Source!DF29)</f>
        <v>-</v>
      </c>
      <c r="G48" s="483">
        <f>ROUND([44]Source!AE29,3)</f>
        <v>1.82</v>
      </c>
      <c r="H48" s="483">
        <f>ROUND([44]Source!AE29*[44]Source!I29,3)</f>
        <v>3.64</v>
      </c>
      <c r="I48" s="485"/>
      <c r="J48" s="483">
        <f>[44]Source!BS29</f>
        <v>1</v>
      </c>
      <c r="K48" s="483">
        <f>ROUND([44]Source!R29,2)</f>
        <v>3.64</v>
      </c>
      <c r="L48" s="483"/>
    </row>
    <row r="49" spans="1:12" x14ac:dyDescent="0.25">
      <c r="A49" s="482"/>
      <c r="B49" s="482"/>
      <c r="C49" s="474" t="s">
        <v>334</v>
      </c>
      <c r="D49" s="483"/>
      <c r="E49" s="483">
        <f>ROUND([44]Source!AH29,2)</f>
        <v>0.25</v>
      </c>
      <c r="F49" s="484" t="str">
        <f>IF([44]Source!DD29="","-",[44]Source!DD29)</f>
        <v>-</v>
      </c>
      <c r="G49" s="483">
        <f>ROUND([44]Source!AC29+[44]Source!HA29,3)</f>
        <v>0</v>
      </c>
      <c r="H49" s="483"/>
      <c r="I49" s="485"/>
      <c r="J49" s="483">
        <f>[44]Source!BC29</f>
        <v>1</v>
      </c>
      <c r="K49" s="483"/>
      <c r="L49" s="483">
        <f>ROUND([44]Source!U29,2)</f>
        <v>0.5</v>
      </c>
    </row>
    <row r="50" spans="1:12" x14ac:dyDescent="0.25">
      <c r="A50" s="482"/>
      <c r="B50" s="482"/>
      <c r="C50" s="474" t="s">
        <v>335</v>
      </c>
      <c r="D50" s="483"/>
      <c r="E50" s="486" t="str">
        <f>CONCATENATE([44]Source!BZ29,"%")</f>
        <v>105%</v>
      </c>
      <c r="F50" s="483"/>
      <c r="G50" s="483">
        <f>ROUND(([44]Source!AO29+ [44]Source!AN29)*[44]Source!AT29/100,3)</f>
        <v>3.98</v>
      </c>
      <c r="H50" s="483">
        <f>ROUND(([44]Source!AE29+ [44]Source!AF29)*[44]Source!AT29/100*[44]Source!I29,2)</f>
        <v>7.96</v>
      </c>
      <c r="I50" s="483"/>
      <c r="J50" s="483" t="str">
        <f>CONCATENATE([44]Source!AT29,"%")</f>
        <v>105%</v>
      </c>
      <c r="K50" s="483">
        <f>ROUND([44]Source!X29,2)</f>
        <v>7.96</v>
      </c>
      <c r="L50" s="483"/>
    </row>
    <row r="51" spans="1:12" x14ac:dyDescent="0.25">
      <c r="A51" s="482"/>
      <c r="B51" s="482"/>
      <c r="C51" s="474" t="s">
        <v>336</v>
      </c>
      <c r="D51" s="487"/>
      <c r="E51" s="488" t="str">
        <f>CONCATENATE([44]Source!CA29,"%")</f>
        <v>60%</v>
      </c>
      <c r="F51" s="487"/>
      <c r="G51" s="487">
        <f>ROUND(([44]Source!AO29+ [44]Source!AN29)*[44]Source!AU29/100,3)</f>
        <v>2.274</v>
      </c>
      <c r="H51" s="487">
        <f>ROUND(([44]Source!AE29+ [44]Source!AF29)*[44]Source!AU29/100*[44]Source!I29,2)</f>
        <v>4.55</v>
      </c>
      <c r="I51" s="487"/>
      <c r="J51" s="487" t="str">
        <f>CONCATENATE([44]Source!AU29,"%")</f>
        <v>60%</v>
      </c>
      <c r="K51" s="487">
        <f>ROUND([44]Source!Y29,2)</f>
        <v>4.55</v>
      </c>
      <c r="L51" s="487"/>
    </row>
    <row r="52" spans="1:12" x14ac:dyDescent="0.25">
      <c r="A52" s="482"/>
      <c r="B52" s="482"/>
      <c r="C52" s="474"/>
      <c r="D52" s="489"/>
      <c r="E52" s="489"/>
      <c r="F52" s="489"/>
      <c r="G52" s="489">
        <f>ROUND(([44]Source!AO29+ [44]Source!AN29)/100*([44]Source!AT29+[44]Source!AU29)+[44]Source!AK29,2)</f>
        <v>18.8</v>
      </c>
      <c r="H52" s="489">
        <f>ROUND([44]Source!DY29,2)</f>
        <v>37.61</v>
      </c>
      <c r="I52" s="489"/>
      <c r="J52" s="489"/>
      <c r="K52" s="489">
        <f>ROUND([44]Source!O29+[44]Source!HB29+[44]Source!X29+[44]Source!Y29,2)</f>
        <v>37.61</v>
      </c>
      <c r="L52" s="489">
        <f>ROUND([44]Source!U29,2)</f>
        <v>0.5</v>
      </c>
    </row>
    <row r="53" spans="1:12" x14ac:dyDescent="0.25">
      <c r="A53" s="490"/>
      <c r="B53" s="490" t="str">
        <f>[44]SmtRes!I6</f>
        <v>1-1025-69</v>
      </c>
      <c r="C53" s="490" t="str">
        <f>[44]SmtRes!K6</f>
        <v>Рабочий строитель среднего разряда 2,5</v>
      </c>
      <c r="D53" s="490" t="str">
        <f>[44]SmtRes!O6</f>
        <v>чел.-ч</v>
      </c>
      <c r="E53" s="490">
        <f>[44]SmtRes!Y6*[44]Source!I29</f>
        <v>0.5</v>
      </c>
      <c r="F53" s="490">
        <f>[44]SmtRes!AU6</f>
        <v>0</v>
      </c>
      <c r="G53" s="490">
        <f>ROUND(([44]SmtRes!AE6+[44]SmtRes!AF6+[44]SmtRes!AH6),2)</f>
        <v>7.88</v>
      </c>
      <c r="H53" s="490">
        <f>ROUND(([44]SmtRes!AE6+[44]SmtRes!AF6+[44]SmtRes!AH6)*[44]SmtRes!Y6*[44]Source!I29,2)</f>
        <v>3.94</v>
      </c>
      <c r="I53" s="490" t="str">
        <f>[44]Source!BO29</f>
        <v>33-04-016-5</v>
      </c>
      <c r="J53" s="490">
        <f>IF([44]SmtRes!H6=1,[44]Source!BA29,IF([44]SmtRes!H6=2,[44]Source!BB29,[44]Source!BC29))</f>
        <v>1</v>
      </c>
      <c r="K53" s="490">
        <f>ROUND(([44]SmtRes!AA6+[44]SmtRes!AB6+[44]SmtRes!AD6)*[44]SmtRes!Y6*[44]Source!I29*J53,2)</f>
        <v>3.94</v>
      </c>
      <c r="L53" s="490"/>
    </row>
    <row r="54" spans="1:12" x14ac:dyDescent="0.25">
      <c r="A54" s="490"/>
      <c r="B54" s="490" t="str">
        <f>[44]SmtRes!I7</f>
        <v>2</v>
      </c>
      <c r="C54" s="490" t="str">
        <f>[44]SmtRes!K7</f>
        <v>Затраты труда машинистов</v>
      </c>
      <c r="D54" s="490" t="str">
        <f>[44]SmtRes!O7</f>
        <v>чел.час</v>
      </c>
      <c r="E54" s="490">
        <f>[44]SmtRes!Y7*[44]Source!I29</f>
        <v>0.28000000000000003</v>
      </c>
      <c r="F54" s="490">
        <f>[44]SmtRes!AU7</f>
        <v>0</v>
      </c>
      <c r="G54" s="490">
        <f>ROUND(([44]SmtRes!AE7+[44]SmtRes!AF7+[44]SmtRes!AH7),2)</f>
        <v>0</v>
      </c>
      <c r="H54" s="490">
        <f>ROUND(([44]SmtRes!AE7+[44]SmtRes!AF7+[44]SmtRes!AH7)*[44]SmtRes!Y7*[44]Source!I29,2)</f>
        <v>0</v>
      </c>
      <c r="I54" s="490" t="str">
        <f>[44]Source!BO29</f>
        <v>33-04-016-5</v>
      </c>
      <c r="J54" s="490">
        <f>IF([44]SmtRes!H7=1,[44]Source!BA29,IF([44]SmtRes!H7=2,[44]Source!BB29,[44]Source!BC29))</f>
        <v>1</v>
      </c>
      <c r="K54" s="490">
        <f>ROUND(([44]SmtRes!AA7+[44]SmtRes!AB7+[44]SmtRes!AD7)*[44]SmtRes!Y7*[44]Source!I29*J54,2)</f>
        <v>0</v>
      </c>
      <c r="L54" s="490"/>
    </row>
    <row r="55" spans="1:12" x14ac:dyDescent="0.25">
      <c r="A55" s="490"/>
      <c r="B55" s="490" t="str">
        <f>[44]SmtRes!I8</f>
        <v>010201</v>
      </c>
      <c r="C55" s="490" t="str">
        <f>[44]SmtRes!K8</f>
        <v>Прицепы тракторные 2 т</v>
      </c>
      <c r="D55" s="490" t="str">
        <f>[44]SmtRes!O8</f>
        <v>маш.-ч</v>
      </c>
      <c r="E55" s="490">
        <f>[44]SmtRes!Y8*[44]Source!I29</f>
        <v>0.28000000000000003</v>
      </c>
      <c r="F55" s="490">
        <f>[44]SmtRes!AU8</f>
        <v>0</v>
      </c>
      <c r="G55" s="490">
        <f>ROUND(([44]SmtRes!AE8+[44]SmtRes!AF8+[44]SmtRes!AH8),2)</f>
        <v>4.01</v>
      </c>
      <c r="H55" s="490">
        <f>ROUND(([44]SmtRes!AE8+[44]SmtRes!AF8+[44]SmtRes!AH8)*[44]SmtRes!Y8*[44]Source!I29,2)</f>
        <v>1.1200000000000001</v>
      </c>
      <c r="I55" s="490" t="str">
        <f>[44]Source!BO29</f>
        <v>33-04-016-5</v>
      </c>
      <c r="J55" s="490">
        <f>IF([44]SmtRes!H8=1,[44]Source!BA29,IF([44]SmtRes!H8=2,[44]Source!BB29,[44]Source!BC29))</f>
        <v>1</v>
      </c>
      <c r="K55" s="490">
        <f>ROUND(([44]SmtRes!AA8+[44]SmtRes!AB8+[44]SmtRes!AD8)*[44]SmtRes!Y8*[44]Source!I29,2)</f>
        <v>4.9400000000000004</v>
      </c>
      <c r="L55" s="490"/>
    </row>
    <row r="56" spans="1:12" ht="28.5" x14ac:dyDescent="0.25">
      <c r="A56" s="490"/>
      <c r="B56" s="490" t="str">
        <f>[44]SmtRes!I9</f>
        <v>010410</v>
      </c>
      <c r="C56" s="490" t="str">
        <f>[44]SmtRes!K9</f>
        <v>Тракторы на пневмоколесном ходу при работе на других видах строительства 59 кВт (80 л.с.)</v>
      </c>
      <c r="D56" s="491" t="str">
        <f>[44]SmtRes!O9</f>
        <v>маш.-ч</v>
      </c>
      <c r="E56" s="491">
        <f>[44]SmtRes!Y9*[44]Source!I29</f>
        <v>0.28000000000000003</v>
      </c>
      <c r="F56" s="491">
        <f>[44]SmtRes!AU9</f>
        <v>0</v>
      </c>
      <c r="G56" s="491">
        <f>ROUND(([44]SmtRes!AE9+[44]SmtRes!AF9+[44]SmtRes!AH9),2)</f>
        <v>71.540000000000006</v>
      </c>
      <c r="H56" s="491">
        <f>ROUND(([44]SmtRes!AE9+[44]SmtRes!AF9+[44]SmtRes!AH9)*[44]SmtRes!Y9*[44]Source!I29,2)</f>
        <v>20.03</v>
      </c>
      <c r="I56" s="491" t="str">
        <f>[44]Source!BO29</f>
        <v>33-04-016-5</v>
      </c>
      <c r="J56" s="491">
        <f>IF([44]SmtRes!H9=1,[44]Source!BA29,IF([44]SmtRes!H9=2,[44]Source!BB29,[44]Source!BC29))</f>
        <v>1</v>
      </c>
      <c r="K56" s="491">
        <f>ROUND(([44]SmtRes!AA9+[44]SmtRes!AB9+[44]SmtRes!AD9)*[44]SmtRes!Y9*[44]Source!I29,2)</f>
        <v>175.27</v>
      </c>
      <c r="L56" s="491"/>
    </row>
    <row r="57" spans="1:12" s="481" customFormat="1" ht="42.75" x14ac:dyDescent="0.25">
      <c r="A57" s="492" t="str">
        <f>[44]Source!E30</f>
        <v>3</v>
      </c>
      <c r="B57" s="493" t="str">
        <f>CONCATENATE([44]Source!F30,"                       ", [44]Source!EO30)</f>
        <v xml:space="preserve">33-04-003-1                       </v>
      </c>
      <c r="C57" s="494" t="str">
        <f>[44]Source!G30</f>
        <v>Установка железобетонных опор ВЛ 0,38, 6-10 кВ с траверсами без приставок одностоечных</v>
      </c>
      <c r="D57" s="495" t="str">
        <f>[44]Source!H30</f>
        <v>шт.</v>
      </c>
      <c r="E57" s="496">
        <v>2</v>
      </c>
      <c r="F57" s="496"/>
      <c r="G57" s="496">
        <f>ROUND([44]Source!AB30+[44]Source!HA30,3)</f>
        <v>227.66</v>
      </c>
      <c r="H57" s="496">
        <f>ROUND(([44]Source!AB30+[44]Source!HA30)*[44]Source!I30,3)</f>
        <v>455.32</v>
      </c>
      <c r="I57" s="496"/>
      <c r="J57" s="496"/>
      <c r="K57" s="496">
        <f>ROUND([44]Source!O30,2)</f>
        <v>455.32</v>
      </c>
      <c r="L57" s="496"/>
    </row>
    <row r="58" spans="1:12" x14ac:dyDescent="0.25">
      <c r="A58" s="482"/>
      <c r="B58" s="482"/>
      <c r="C58" s="474" t="s">
        <v>331</v>
      </c>
      <c r="D58" s="483"/>
      <c r="E58" s="483"/>
      <c r="F58" s="484" t="str">
        <f>IF([44]Source!DG30="","-",[44]Source!DG30)</f>
        <v>-</v>
      </c>
      <c r="G58" s="483">
        <f>ROUND([44]Source!AF30,3)</f>
        <v>32.49</v>
      </c>
      <c r="H58" s="483">
        <f>ROUND([44]Source!AF30*[44]Source!I30,3)</f>
        <v>64.98</v>
      </c>
      <c r="I58" s="485" t="str">
        <f>[44]Source!BO30</f>
        <v>33-04-003-1</v>
      </c>
      <c r="J58" s="483">
        <f>[44]Source!BA30</f>
        <v>1</v>
      </c>
      <c r="K58" s="483">
        <f>ROUND([44]Source!S30,2)</f>
        <v>64.98</v>
      </c>
      <c r="L58" s="483"/>
    </row>
    <row r="59" spans="1:12" x14ac:dyDescent="0.25">
      <c r="A59" s="482"/>
      <c r="B59" s="482"/>
      <c r="C59" s="474" t="s">
        <v>332</v>
      </c>
      <c r="D59" s="483"/>
      <c r="E59" s="483"/>
      <c r="F59" s="484" t="str">
        <f>IF([44]Source!DE30="","-",[44]Source!DE30)</f>
        <v>-</v>
      </c>
      <c r="G59" s="483">
        <f>ROUND([44]Source!AD30,3)</f>
        <v>146.38999999999999</v>
      </c>
      <c r="H59" s="483">
        <f>ROUND([44]Source!AD30*[44]Source!I30,3)</f>
        <v>292.77999999999997</v>
      </c>
      <c r="I59" s="485"/>
      <c r="J59" s="483">
        <f>[44]Source!BB30</f>
        <v>1</v>
      </c>
      <c r="K59" s="483">
        <f>ROUND([44]Source!Q30,2)</f>
        <v>292.77999999999997</v>
      </c>
      <c r="L59" s="483"/>
    </row>
    <row r="60" spans="1:12" x14ac:dyDescent="0.25">
      <c r="A60" s="482"/>
      <c r="B60" s="482"/>
      <c r="C60" s="474" t="s">
        <v>333</v>
      </c>
      <c r="D60" s="483"/>
      <c r="E60" s="483"/>
      <c r="F60" s="484" t="str">
        <f>IF([44]Source!DF30="","-",[44]Source!DF30)</f>
        <v>-</v>
      </c>
      <c r="G60" s="483">
        <f>ROUND([44]Source!AE30,3)</f>
        <v>8.73</v>
      </c>
      <c r="H60" s="483">
        <f>ROUND([44]Source!AE30*[44]Source!I30,3)</f>
        <v>17.46</v>
      </c>
      <c r="I60" s="485"/>
      <c r="J60" s="483">
        <f>[44]Source!BS30</f>
        <v>1</v>
      </c>
      <c r="K60" s="483">
        <f>ROUND([44]Source!R30,2)</f>
        <v>17.46</v>
      </c>
      <c r="L60" s="483"/>
    </row>
    <row r="61" spans="1:12" x14ac:dyDescent="0.25">
      <c r="A61" s="482"/>
      <c r="B61" s="482"/>
      <c r="C61" s="474" t="s">
        <v>337</v>
      </c>
      <c r="D61" s="483"/>
      <c r="E61" s="483"/>
      <c r="F61" s="484" t="str">
        <f>IF([44]Source!DD30="","-",[44]Source!DD30)</f>
        <v>-</v>
      </c>
      <c r="G61" s="483">
        <f>ROUND([44]Source!AC30+[44]Source!HA30,3)</f>
        <v>48.78</v>
      </c>
      <c r="H61" s="483">
        <f>ROUND(([44]Source!AC30+[44]Source!HA30)*[44]Source!I30,3)</f>
        <v>97.56</v>
      </c>
      <c r="I61" s="485"/>
      <c r="J61" s="483">
        <f>[44]Source!BC30</f>
        <v>1</v>
      </c>
      <c r="K61" s="483">
        <f>ROUND([44]Source!P30,2)</f>
        <v>97.56</v>
      </c>
      <c r="L61" s="483"/>
    </row>
    <row r="62" spans="1:12" x14ac:dyDescent="0.25">
      <c r="A62" s="482"/>
      <c r="B62" s="482"/>
      <c r="C62" s="474" t="s">
        <v>334</v>
      </c>
      <c r="D62" s="483"/>
      <c r="E62" s="483">
        <f>ROUND([44]Source!AH30,2)</f>
        <v>3.8</v>
      </c>
      <c r="F62" s="483"/>
      <c r="G62" s="483"/>
      <c r="H62" s="483"/>
      <c r="I62" s="483"/>
      <c r="J62" s="483"/>
      <c r="K62" s="483"/>
      <c r="L62" s="483">
        <f>ROUND([44]Source!U30,2)</f>
        <v>7.6</v>
      </c>
    </row>
    <row r="63" spans="1:12" x14ac:dyDescent="0.25">
      <c r="A63" s="482"/>
      <c r="B63" s="482"/>
      <c r="C63" s="474" t="s">
        <v>335</v>
      </c>
      <c r="D63" s="483"/>
      <c r="E63" s="486" t="str">
        <f>CONCATENATE([44]Source!BZ30,"%")</f>
        <v>105%</v>
      </c>
      <c r="F63" s="483"/>
      <c r="G63" s="483">
        <f>ROUND(([44]Source!AO30+ [44]Source!AN30)*[44]Source!AT30/100,3)</f>
        <v>43.280999999999999</v>
      </c>
      <c r="H63" s="483">
        <f>ROUND(([44]Source!AE30+ [44]Source!AF30)*[44]Source!AT30/100*[44]Source!I30,2)</f>
        <v>86.56</v>
      </c>
      <c r="I63" s="483"/>
      <c r="J63" s="483" t="str">
        <f>CONCATENATE([44]Source!AT30,"%")</f>
        <v>105%</v>
      </c>
      <c r="K63" s="483">
        <f>ROUND([44]Source!X30,2)</f>
        <v>86.56</v>
      </c>
      <c r="L63" s="483"/>
    </row>
    <row r="64" spans="1:12" x14ac:dyDescent="0.25">
      <c r="A64" s="482"/>
      <c r="B64" s="482"/>
      <c r="C64" s="474" t="s">
        <v>336</v>
      </c>
      <c r="D64" s="487"/>
      <c r="E64" s="488" t="str">
        <f>CONCATENATE([44]Source!CA30,"%")</f>
        <v>60%</v>
      </c>
      <c r="F64" s="487"/>
      <c r="G64" s="487">
        <f>ROUND(([44]Source!AO30+ [44]Source!AN30)*[44]Source!AU30/100,3)</f>
        <v>24.731999999999999</v>
      </c>
      <c r="H64" s="487">
        <f>ROUND(([44]Source!AE30+ [44]Source!AF30)*[44]Source!AU30/100*[44]Source!I30,2)</f>
        <v>49.46</v>
      </c>
      <c r="I64" s="487"/>
      <c r="J64" s="487" t="str">
        <f>CONCATENATE([44]Source!AU30,"%")</f>
        <v>60%</v>
      </c>
      <c r="K64" s="487">
        <f>ROUND([44]Source!Y30,2)</f>
        <v>49.46</v>
      </c>
      <c r="L64" s="487"/>
    </row>
    <row r="65" spans="1:12" x14ac:dyDescent="0.25">
      <c r="A65" s="482"/>
      <c r="B65" s="482"/>
      <c r="C65" s="474"/>
      <c r="D65" s="489"/>
      <c r="E65" s="489"/>
      <c r="F65" s="489"/>
      <c r="G65" s="489">
        <f>ROUND(([44]Source!AO30+ [44]Source!AN30)/100*([44]Source!AT30+[44]Source!AU30)+[44]Source!AK30,2)</f>
        <v>295.67</v>
      </c>
      <c r="H65" s="489">
        <f>ROUND([44]Source!DY30,2)</f>
        <v>591.35</v>
      </c>
      <c r="I65" s="489"/>
      <c r="J65" s="489"/>
      <c r="K65" s="489">
        <f>ROUND([44]Source!O30+[44]Source!HB30+[44]Source!X30+[44]Source!Y30,2)</f>
        <v>591.34</v>
      </c>
      <c r="L65" s="489">
        <f>ROUND([44]Source!U30,2)</f>
        <v>7.6</v>
      </c>
    </row>
    <row r="66" spans="1:12" x14ac:dyDescent="0.25">
      <c r="A66" s="490"/>
      <c r="B66" s="490" t="str">
        <f>[44]SmtRes!I10</f>
        <v>1-1033-69</v>
      </c>
      <c r="C66" s="490" t="str">
        <f>[44]SmtRes!K10</f>
        <v>Рабочий строитель среднего разряда 3,3</v>
      </c>
      <c r="D66" s="490" t="str">
        <f>[44]SmtRes!O10</f>
        <v>чел.-ч</v>
      </c>
      <c r="E66" s="490">
        <f>[44]SmtRes!Y10*[44]Source!I30</f>
        <v>7.6</v>
      </c>
      <c r="F66" s="490">
        <f>[44]SmtRes!AU10</f>
        <v>0</v>
      </c>
      <c r="G66" s="490">
        <f>ROUND(([44]SmtRes!AE10+[44]SmtRes!AF10+[44]SmtRes!AH10),2)</f>
        <v>8.5500000000000007</v>
      </c>
      <c r="H66" s="490">
        <f>ROUND(([44]SmtRes!AE10+[44]SmtRes!AF10+[44]SmtRes!AH10)*[44]SmtRes!Y10*[44]Source!I30,2)</f>
        <v>64.98</v>
      </c>
      <c r="I66" s="490" t="str">
        <f>[44]Source!BO30</f>
        <v>33-04-003-1</v>
      </c>
      <c r="J66" s="490">
        <f>IF([44]SmtRes!H10=1,[44]Source!BA30,IF([44]SmtRes!H10=2,[44]Source!BB30,[44]Source!BC30))</f>
        <v>1</v>
      </c>
      <c r="K66" s="490">
        <f>ROUND(([44]SmtRes!AA10+[44]SmtRes!AB10+[44]SmtRes!AD10)*[44]SmtRes!Y10*[44]Source!I30*J66,2)</f>
        <v>64.98</v>
      </c>
      <c r="L66" s="490"/>
    </row>
    <row r="67" spans="1:12" x14ac:dyDescent="0.25">
      <c r="A67" s="490"/>
      <c r="B67" s="490" t="str">
        <f>[44]SmtRes!I11</f>
        <v>2</v>
      </c>
      <c r="C67" s="490" t="str">
        <f>[44]SmtRes!K11</f>
        <v>Затраты труда машинистов</v>
      </c>
      <c r="D67" s="490" t="str">
        <f>[44]SmtRes!O11</f>
        <v>чел.-ч</v>
      </c>
      <c r="E67" s="490">
        <f>[44]SmtRes!Y11*[44]Source!I30</f>
        <v>1.56</v>
      </c>
      <c r="F67" s="490">
        <f>[44]SmtRes!AU11</f>
        <v>0</v>
      </c>
      <c r="G67" s="490">
        <f>ROUND(([44]SmtRes!AE11+[44]SmtRes!AF11+[44]SmtRes!AH11),2)</f>
        <v>0</v>
      </c>
      <c r="H67" s="490">
        <f>ROUND(([44]SmtRes!AE11+[44]SmtRes!AF11+[44]SmtRes!AH11)*[44]SmtRes!Y11*[44]Source!I30,2)</f>
        <v>0</v>
      </c>
      <c r="I67" s="490" t="str">
        <f>[44]Source!BO30</f>
        <v>33-04-003-1</v>
      </c>
      <c r="J67" s="490">
        <f>IF([44]SmtRes!H11=1,[44]Source!BA30,IF([44]SmtRes!H11=2,[44]Source!BB30,[44]Source!BC30))</f>
        <v>1</v>
      </c>
      <c r="K67" s="490">
        <f>ROUND(([44]SmtRes!AA11+[44]SmtRes!AB11+[44]SmtRes!AD11)*[44]SmtRes!Y11*[44]Source!I30*J67,2)</f>
        <v>0</v>
      </c>
      <c r="L67" s="490"/>
    </row>
    <row r="68" spans="1:12" ht="28.5" x14ac:dyDescent="0.25">
      <c r="A68" s="490"/>
      <c r="B68" s="490" t="str">
        <f>[44]SmtRes!I12</f>
        <v>160402</v>
      </c>
      <c r="C68" s="490" t="str">
        <f>[44]SmtRes!K12</f>
        <v>Машины бурильно-крановые: на автомобиле, глубина бурения 3,5 м</v>
      </c>
      <c r="D68" s="490" t="str">
        <f>[44]SmtRes!O12</f>
        <v>маш.-ч</v>
      </c>
      <c r="E68" s="490">
        <f>[44]SmtRes!Y12*[44]Source!I30</f>
        <v>1.56</v>
      </c>
      <c r="F68" s="490">
        <f>[44]SmtRes!AU12</f>
        <v>0</v>
      </c>
      <c r="G68" s="490">
        <f>ROUND(([44]SmtRes!AE12+[44]SmtRes!AF12+[44]SmtRes!AH12),2)</f>
        <v>165.36</v>
      </c>
      <c r="H68" s="490">
        <f>ROUND(([44]SmtRes!AE12+[44]SmtRes!AF12+[44]SmtRes!AH12)*[44]SmtRes!Y12*[44]Source!I30,2)</f>
        <v>257.95999999999998</v>
      </c>
      <c r="I68" s="490" t="str">
        <f>[44]Source!BO30</f>
        <v>33-04-003-1</v>
      </c>
      <c r="J68" s="490">
        <f>IF([44]SmtRes!H12=1,[44]Source!BA30,IF([44]SmtRes!H12=2,[44]Source!BB30,[44]Source!BC30))</f>
        <v>1</v>
      </c>
      <c r="K68" s="490">
        <f>ROUND(([44]SmtRes!AA12+[44]SmtRes!AB12+[44]SmtRes!AD12)*[44]SmtRes!Y12*[44]Source!I30,2)</f>
        <v>1245.96</v>
      </c>
      <c r="L68" s="490"/>
    </row>
    <row r="69" spans="1:12" ht="28.5" x14ac:dyDescent="0.25">
      <c r="A69" s="490"/>
      <c r="B69" s="490" t="str">
        <f>[44]SmtRes!I13</f>
        <v>400001</v>
      </c>
      <c r="C69" s="490" t="str">
        <f>[44]SmtRes!K13</f>
        <v>Автомобили бортовые, грузоподъемность: до 5 т</v>
      </c>
      <c r="D69" s="490" t="str">
        <f>[44]SmtRes!O13</f>
        <v>маш.-ч</v>
      </c>
      <c r="E69" s="490">
        <f>[44]SmtRes!Y13*[44]Source!I30</f>
        <v>0.38</v>
      </c>
      <c r="F69" s="490">
        <f>[44]SmtRes!AU13</f>
        <v>0</v>
      </c>
      <c r="G69" s="490">
        <f>ROUND(([44]SmtRes!AE13+[44]SmtRes!AF13+[44]SmtRes!AH13),2)</f>
        <v>91.62</v>
      </c>
      <c r="H69" s="490">
        <f>ROUND(([44]SmtRes!AE13+[44]SmtRes!AF13+[44]SmtRes!AH13)*[44]SmtRes!Y13*[44]Source!I30,2)</f>
        <v>34.82</v>
      </c>
      <c r="I69" s="490" t="str">
        <f>[44]Source!BO30</f>
        <v>33-04-003-1</v>
      </c>
      <c r="J69" s="490">
        <f>IF([44]SmtRes!H13=1,[44]Source!BA30,IF([44]SmtRes!H13=2,[44]Source!BB30,[44]Source!BC30))</f>
        <v>1</v>
      </c>
      <c r="K69" s="490">
        <f>ROUND(([44]SmtRes!AA13+[44]SmtRes!AB13+[44]SmtRes!AD13)*[44]SmtRes!Y13*[44]Source!I30,2)</f>
        <v>280.61</v>
      </c>
      <c r="L69" s="490"/>
    </row>
    <row r="70" spans="1:12" ht="28.5" x14ac:dyDescent="0.25">
      <c r="A70" s="490"/>
      <c r="B70" s="490" t="str">
        <f>[44]SmtRes!I14</f>
        <v>101-0404</v>
      </c>
      <c r="C70" s="490" t="str">
        <f>[44]SmtRes!K14</f>
        <v>Краска для наружных работ черная, марок МА-015, ПФ-014</v>
      </c>
      <c r="D70" s="490" t="str">
        <f>[44]SmtRes!O14</f>
        <v>т</v>
      </c>
      <c r="E70" s="490">
        <f>[44]SmtRes!Y14*[44]Source!I30</f>
        <v>8.0000000000000004E-4</v>
      </c>
      <c r="F70" s="490">
        <f>[44]SmtRes!AU14</f>
        <v>0</v>
      </c>
      <c r="G70" s="490">
        <f>ROUND(([44]SmtRes!AE14+[44]SmtRes!AF14+[44]SmtRes!AH14),2)</f>
        <v>14679</v>
      </c>
      <c r="H70" s="490">
        <f>ROUND(([44]SmtRes!AE14+[44]SmtRes!AF14+[44]SmtRes!AH14)*[44]SmtRes!Y14*[44]Source!I30,2)</f>
        <v>11.74</v>
      </c>
      <c r="I70" s="490" t="str">
        <f>[44]Source!BO30</f>
        <v>33-04-003-1</v>
      </c>
      <c r="J70" s="490">
        <f>IF([44]SmtRes!H14=1,[44]Source!BA30,IF([44]SmtRes!H14=2,[44]Source!BB30,[44]Source!BC30))</f>
        <v>1</v>
      </c>
      <c r="K70" s="490">
        <f>ROUND(([44]SmtRes!AE14+[44]SmtRes!AF14+[44]SmtRes!AH14)*[44]SmtRes!Y14*[44]Source!I30*J70,2)</f>
        <v>11.74</v>
      </c>
      <c r="L70" s="490"/>
    </row>
    <row r="71" spans="1:12" x14ac:dyDescent="0.25">
      <c r="A71" s="490"/>
      <c r="B71" s="490" t="str">
        <f>[44]SmtRes!I15</f>
        <v>101-0962</v>
      </c>
      <c r="C71" s="490" t="str">
        <f>[44]SmtRes!K15</f>
        <v>Смазка солидол жировой марки «Ж»</v>
      </c>
      <c r="D71" s="490" t="str">
        <f>[44]SmtRes!O15</f>
        <v>т</v>
      </c>
      <c r="E71" s="490">
        <f>[44]SmtRes!Y15*[44]Source!I30</f>
        <v>6.0000000000000002E-5</v>
      </c>
      <c r="F71" s="490">
        <f>[44]SmtRes!AU15</f>
        <v>0</v>
      </c>
      <c r="G71" s="490">
        <f>ROUND(([44]SmtRes!AE15+[44]SmtRes!AF15+[44]SmtRes!AH15),2)</f>
        <v>9661.5</v>
      </c>
      <c r="H71" s="490">
        <f>ROUND(([44]SmtRes!AE15+[44]SmtRes!AF15+[44]SmtRes!AH15)*[44]SmtRes!Y15*[44]Source!I30,2)</f>
        <v>0.57999999999999996</v>
      </c>
      <c r="I71" s="490" t="str">
        <f>[44]Source!BO30</f>
        <v>33-04-003-1</v>
      </c>
      <c r="J71" s="490">
        <f>IF([44]SmtRes!H15=1,[44]Source!BA30,IF([44]SmtRes!H15=2,[44]Source!BB30,[44]Source!BC30))</f>
        <v>1</v>
      </c>
      <c r="K71" s="490">
        <f>ROUND(([44]SmtRes!AE15+[44]SmtRes!AF15+[44]SmtRes!AH15)*[44]SmtRes!Y15*[44]Source!I30*J71,2)</f>
        <v>0.57999999999999996</v>
      </c>
      <c r="L71" s="490"/>
    </row>
    <row r="72" spans="1:12" x14ac:dyDescent="0.25">
      <c r="A72" s="490"/>
      <c r="B72" s="490" t="str">
        <f>[44]SmtRes!I17</f>
        <v>101-1757</v>
      </c>
      <c r="C72" s="490" t="str">
        <f>[44]SmtRes!K17</f>
        <v>Ветошь</v>
      </c>
      <c r="D72" s="490" t="str">
        <f>[44]SmtRes!O17</f>
        <v>кг</v>
      </c>
      <c r="E72" s="490">
        <f>[44]SmtRes!Y17*[44]Source!I30</f>
        <v>0.04</v>
      </c>
      <c r="F72" s="490">
        <f>[44]SmtRes!AU17</f>
        <v>0</v>
      </c>
      <c r="G72" s="490">
        <f>ROUND(([44]SmtRes!AE17+[44]SmtRes!AF17+[44]SmtRes!AH17),2)</f>
        <v>1.94</v>
      </c>
      <c r="H72" s="490">
        <f>ROUND(([44]SmtRes!AE17+[44]SmtRes!AF17+[44]SmtRes!AH17)*[44]SmtRes!Y17*[44]Source!I30,2)</f>
        <v>0.08</v>
      </c>
      <c r="I72" s="490" t="str">
        <f>[44]Source!BO30</f>
        <v>33-04-003-1</v>
      </c>
      <c r="J72" s="490">
        <f>IF([44]SmtRes!H17=1,[44]Source!BA30,IF([44]SmtRes!H17=2,[44]Source!BB30,[44]Source!BC30))</f>
        <v>1</v>
      </c>
      <c r="K72" s="490">
        <f>ROUND(([44]SmtRes!AE17+[44]SmtRes!AF17+[44]SmtRes!AH17)*[44]SmtRes!Y17*[44]Source!I30*J72,2)</f>
        <v>0.08</v>
      </c>
      <c r="L72" s="490"/>
    </row>
    <row r="73" spans="1:12" x14ac:dyDescent="0.25">
      <c r="A73" s="490"/>
      <c r="B73" s="490" t="str">
        <f>[44]SmtRes!I18</f>
        <v>101-2349</v>
      </c>
      <c r="C73" s="490" t="str">
        <f>[44]SmtRes!K18</f>
        <v>Смазка ЗЭС</v>
      </c>
      <c r="D73" s="490" t="str">
        <f>[44]SmtRes!O18</f>
        <v>кг</v>
      </c>
      <c r="E73" s="490">
        <f>[44]SmtRes!Y18*[44]Source!I30</f>
        <v>0.2</v>
      </c>
      <c r="F73" s="490">
        <f>[44]SmtRes!AU18</f>
        <v>0</v>
      </c>
      <c r="G73" s="490">
        <f>ROUND(([44]SmtRes!AE18+[44]SmtRes!AF18+[44]SmtRes!AH18),2)</f>
        <v>11</v>
      </c>
      <c r="H73" s="490">
        <f>ROUND(([44]SmtRes!AE18+[44]SmtRes!AF18+[44]SmtRes!AH18)*[44]SmtRes!Y18*[44]Source!I30,2)</f>
        <v>2.2000000000000002</v>
      </c>
      <c r="I73" s="490" t="str">
        <f>[44]Source!BO30</f>
        <v>33-04-003-1</v>
      </c>
      <c r="J73" s="490">
        <f>IF([44]SmtRes!H18=1,[44]Source!BA30,IF([44]SmtRes!H18=2,[44]Source!BB30,[44]Source!BC30))</f>
        <v>1</v>
      </c>
      <c r="K73" s="490">
        <f>ROUND(([44]SmtRes!AE18+[44]SmtRes!AF18+[44]SmtRes!AH18)*[44]SmtRes!Y18*[44]Source!I30*J73,2)</f>
        <v>2.2000000000000002</v>
      </c>
      <c r="L73" s="490"/>
    </row>
    <row r="74" spans="1:12" x14ac:dyDescent="0.25">
      <c r="A74" s="490"/>
      <c r="B74" s="490" t="str">
        <f>[44]SmtRes!I22</f>
        <v>110-9126</v>
      </c>
      <c r="C74" s="490" t="str">
        <f>[44]SmtRes!K22</f>
        <v>Металлические плакаты</v>
      </c>
      <c r="D74" s="490" t="str">
        <f>[44]SmtRes!O22</f>
        <v>шт.</v>
      </c>
      <c r="E74" s="490">
        <f>[44]SmtRes!Y22*[44]Source!I30</f>
        <v>0.2</v>
      </c>
      <c r="F74" s="490">
        <f>[44]SmtRes!AU22</f>
        <v>0</v>
      </c>
      <c r="G74" s="490">
        <f>ROUND(([44]SmtRes!AE22+[44]SmtRes!AF22+[44]SmtRes!AH22),2)</f>
        <v>0</v>
      </c>
      <c r="H74" s="490">
        <f>ROUND(([44]SmtRes!AE22+[44]SmtRes!AF22+[44]SmtRes!AH22)*[44]SmtRes!Y22*[44]Source!I30,2)</f>
        <v>0</v>
      </c>
      <c r="I74" s="490" t="str">
        <f>[44]Source!BO30</f>
        <v>33-04-003-1</v>
      </c>
      <c r="J74" s="490">
        <f>IF([44]SmtRes!H22=1,[44]Source!BA30,IF([44]SmtRes!H22=2,[44]Source!BB30,[44]Source!BC30))</f>
        <v>1</v>
      </c>
      <c r="K74" s="490">
        <f>ROUND(([44]SmtRes!AE22+[44]SmtRes!AF22+[44]SmtRes!AH22)*[44]SmtRes!Y22*[44]Source!I30*J74,2)</f>
        <v>0</v>
      </c>
      <c r="L74" s="490"/>
    </row>
    <row r="75" spans="1:12" x14ac:dyDescent="0.25">
      <c r="A75" s="490"/>
      <c r="B75" s="490" t="str">
        <f>[44]SmtRes!I23</f>
        <v>113-0079</v>
      </c>
      <c r="C75" s="490" t="str">
        <f>[44]SmtRes!K23</f>
        <v>Лак БТ-577</v>
      </c>
      <c r="D75" s="490" t="str">
        <f>[44]SmtRes!O23</f>
        <v>т</v>
      </c>
      <c r="E75" s="490">
        <f>[44]SmtRes!Y23*[44]Source!I30</f>
        <v>2.0000000000000001E-4</v>
      </c>
      <c r="F75" s="490">
        <f>[44]SmtRes!AU23</f>
        <v>0</v>
      </c>
      <c r="G75" s="490">
        <f>ROUND(([44]SmtRes!AE23+[44]SmtRes!AF23+[44]SmtRes!AH23),2)</f>
        <v>10324.469999999999</v>
      </c>
      <c r="H75" s="490">
        <f>ROUND(([44]SmtRes!AE23+[44]SmtRes!AF23+[44]SmtRes!AH23)*[44]SmtRes!Y23*[44]Source!I30,2)</f>
        <v>2.06</v>
      </c>
      <c r="I75" s="490" t="str">
        <f>[44]Source!BO30</f>
        <v>33-04-003-1</v>
      </c>
      <c r="J75" s="490">
        <f>IF([44]SmtRes!H23=1,[44]Source!BA30,IF([44]SmtRes!H23=2,[44]Source!BB30,[44]Source!BC30))</f>
        <v>1</v>
      </c>
      <c r="K75" s="490">
        <f>ROUND(([44]SmtRes!AE23+[44]SmtRes!AF23+[44]SmtRes!AH23)*[44]SmtRes!Y23*[44]Source!I30*J75,2)</f>
        <v>2.06</v>
      </c>
      <c r="L75" s="490"/>
    </row>
    <row r="76" spans="1:12" x14ac:dyDescent="0.25">
      <c r="A76" s="490"/>
      <c r="B76" s="490" t="str">
        <f>[44]SmtRes!I27</f>
        <v>509-1073</v>
      </c>
      <c r="C76" s="490" t="str">
        <f>[44]SmtRes!K27</f>
        <v>Колпачки полиэтиленовые</v>
      </c>
      <c r="D76" s="491" t="str">
        <f>[44]SmtRes!O27</f>
        <v>шт.</v>
      </c>
      <c r="E76" s="491">
        <f>[44]SmtRes!Y27*[44]Source!I30</f>
        <v>12</v>
      </c>
      <c r="F76" s="491">
        <f>[44]SmtRes!AU27</f>
        <v>0</v>
      </c>
      <c r="G76" s="491">
        <f>ROUND(([44]SmtRes!AE27+[44]SmtRes!AF27+[44]SmtRes!AH27),2)</f>
        <v>6.71</v>
      </c>
      <c r="H76" s="491">
        <f>ROUND(([44]SmtRes!AE27+[44]SmtRes!AF27+[44]SmtRes!AH27)*[44]SmtRes!Y27*[44]Source!I30,2)</f>
        <v>80.52</v>
      </c>
      <c r="I76" s="491" t="str">
        <f>[44]Source!BO30</f>
        <v>33-04-003-1</v>
      </c>
      <c r="J76" s="491">
        <f>IF([44]SmtRes!H27=1,[44]Source!BA30,IF([44]SmtRes!H27=2,[44]Source!BB30,[44]Source!BC30))</f>
        <v>1</v>
      </c>
      <c r="K76" s="491">
        <f>ROUND(([44]SmtRes!AE27+[44]SmtRes!AF27+[44]SmtRes!AH27)*[44]SmtRes!Y27*[44]Source!I30*J76,2)</f>
        <v>80.52</v>
      </c>
      <c r="L76" s="491"/>
    </row>
    <row r="77" spans="1:12" s="481" customFormat="1" x14ac:dyDescent="0.25">
      <c r="A77" s="492" t="str">
        <f>[44]Source!E31</f>
        <v>4</v>
      </c>
      <c r="B77" s="493" t="str">
        <f>CONCATENATE([44]Source!F31,"                       ", [44]Source!EO31)</f>
        <v xml:space="preserve">м08-01-082-1                       </v>
      </c>
      <c r="C77" s="494" t="str">
        <f>[44]Source!G31</f>
        <v>Зажим наборный без кожуха</v>
      </c>
      <c r="D77" s="495" t="str">
        <f>[44]Source!H31</f>
        <v>100 шт.</v>
      </c>
      <c r="E77" s="496">
        <v>0.18</v>
      </c>
      <c r="F77" s="496"/>
      <c r="G77" s="496">
        <f>ROUND([44]Source!AB31+[44]Source!HA31,3)</f>
        <v>1040.53</v>
      </c>
      <c r="H77" s="496">
        <f>ROUND(([44]Source!AB31+[44]Source!HA31)*[44]Source!I31,3)</f>
        <v>187.29499999999999</v>
      </c>
      <c r="I77" s="496"/>
      <c r="J77" s="496"/>
      <c r="K77" s="496">
        <f>ROUND([44]Source!O31,2)</f>
        <v>187.29</v>
      </c>
      <c r="L77" s="496"/>
    </row>
    <row r="78" spans="1:12" x14ac:dyDescent="0.25">
      <c r="A78" s="482"/>
      <c r="B78" s="482"/>
      <c r="C78" s="474" t="s">
        <v>331</v>
      </c>
      <c r="D78" s="483"/>
      <c r="E78" s="483"/>
      <c r="F78" s="484" t="str">
        <f>IF([44]Source!DG31="","-",[44]Source!DG31)</f>
        <v>-</v>
      </c>
      <c r="G78" s="483">
        <f>ROUND([44]Source!AF31,3)</f>
        <v>436.63</v>
      </c>
      <c r="H78" s="483">
        <f>ROUND([44]Source!AF31*[44]Source!I31,3)</f>
        <v>78.593000000000004</v>
      </c>
      <c r="I78" s="485" t="str">
        <f>[44]Source!BO31</f>
        <v>м08-01-082-1</v>
      </c>
      <c r="J78" s="483">
        <f>[44]Source!BA31</f>
        <v>1</v>
      </c>
      <c r="K78" s="483">
        <f>ROUND([44]Source!S31,2)</f>
        <v>78.59</v>
      </c>
      <c r="L78" s="483"/>
    </row>
    <row r="79" spans="1:12" x14ac:dyDescent="0.25">
      <c r="A79" s="482"/>
      <c r="B79" s="482"/>
      <c r="C79" s="474" t="s">
        <v>332</v>
      </c>
      <c r="D79" s="483"/>
      <c r="E79" s="483"/>
      <c r="F79" s="484" t="str">
        <f>IF([44]Source!DE31="","-",[44]Source!DE31)</f>
        <v>-</v>
      </c>
      <c r="G79" s="483">
        <f>ROUND([44]Source!AD31,3)</f>
        <v>27.97</v>
      </c>
      <c r="H79" s="483">
        <f>ROUND([44]Source!AD31*[44]Source!I31,3)</f>
        <v>5.0350000000000001</v>
      </c>
      <c r="I79" s="485"/>
      <c r="J79" s="483">
        <f>[44]Source!BB31</f>
        <v>1</v>
      </c>
      <c r="K79" s="483">
        <f>ROUND([44]Source!Q31,2)</f>
        <v>5.03</v>
      </c>
      <c r="L79" s="483"/>
    </row>
    <row r="80" spans="1:12" x14ac:dyDescent="0.25">
      <c r="A80" s="482"/>
      <c r="B80" s="482"/>
      <c r="C80" s="474" t="s">
        <v>333</v>
      </c>
      <c r="D80" s="483"/>
      <c r="E80" s="483"/>
      <c r="F80" s="484" t="str">
        <f>IF([44]Source!DF31="","-",[44]Source!DF31)</f>
        <v>-</v>
      </c>
      <c r="G80" s="483">
        <f>ROUND([44]Source!AE31,3)</f>
        <v>1.43</v>
      </c>
      <c r="H80" s="483">
        <f>ROUND([44]Source!AE31*[44]Source!I31,3)</f>
        <v>0.25700000000000001</v>
      </c>
      <c r="I80" s="485"/>
      <c r="J80" s="483">
        <f>[44]Source!BS31</f>
        <v>1</v>
      </c>
      <c r="K80" s="483">
        <f>ROUND([44]Source!R31,2)</f>
        <v>0.26</v>
      </c>
      <c r="L80" s="483"/>
    </row>
    <row r="81" spans="1:12" x14ac:dyDescent="0.25">
      <c r="A81" s="482"/>
      <c r="B81" s="482"/>
      <c r="C81" s="474" t="s">
        <v>337</v>
      </c>
      <c r="D81" s="483"/>
      <c r="E81" s="483"/>
      <c r="F81" s="484" t="str">
        <f>IF([44]Source!DD31="","-",[44]Source!DD31)</f>
        <v>-</v>
      </c>
      <c r="G81" s="483">
        <f>ROUND([44]Source!AC31+[44]Source!HA31,3)</f>
        <v>575.92999999999995</v>
      </c>
      <c r="H81" s="483">
        <f>ROUND(([44]Source!AC31+[44]Source!HA31)*[44]Source!I31,3)</f>
        <v>103.667</v>
      </c>
      <c r="I81" s="485"/>
      <c r="J81" s="483">
        <f>[44]Source!BC31</f>
        <v>1</v>
      </c>
      <c r="K81" s="483">
        <f>ROUND([44]Source!P31,2)</f>
        <v>103.67</v>
      </c>
      <c r="L81" s="483"/>
    </row>
    <row r="82" spans="1:12" x14ac:dyDescent="0.25">
      <c r="A82" s="482"/>
      <c r="B82" s="482"/>
      <c r="C82" s="474" t="s">
        <v>334</v>
      </c>
      <c r="D82" s="483"/>
      <c r="E82" s="483">
        <f>ROUND([44]Source!AH31,2)</f>
        <v>47</v>
      </c>
      <c r="F82" s="483"/>
      <c r="G82" s="483"/>
      <c r="H82" s="483"/>
      <c r="I82" s="483"/>
      <c r="J82" s="483"/>
      <c r="K82" s="483"/>
      <c r="L82" s="483">
        <f>ROUND([44]Source!U31,2)</f>
        <v>8.4600000000000009</v>
      </c>
    </row>
    <row r="83" spans="1:12" x14ac:dyDescent="0.25">
      <c r="A83" s="482"/>
      <c r="B83" s="482"/>
      <c r="C83" s="474" t="s">
        <v>335</v>
      </c>
      <c r="D83" s="483"/>
      <c r="E83" s="486" t="str">
        <f>CONCATENATE([44]Source!BZ31,"%")</f>
        <v>95%</v>
      </c>
      <c r="F83" s="483"/>
      <c r="G83" s="483">
        <f>ROUND(([44]Source!AO31+ [44]Source!AN31)*[44]Source!AT31/100,3)</f>
        <v>416.15699999999998</v>
      </c>
      <c r="H83" s="483">
        <f>ROUND(([44]Source!AE31+ [44]Source!AF31)*[44]Source!AT31/100*[44]Source!I31,2)</f>
        <v>74.91</v>
      </c>
      <c r="I83" s="483"/>
      <c r="J83" s="483" t="str">
        <f>CONCATENATE([44]Source!AT31,"%")</f>
        <v>95%</v>
      </c>
      <c r="K83" s="483">
        <f>ROUND([44]Source!X31,2)</f>
        <v>74.91</v>
      </c>
      <c r="L83" s="483"/>
    </row>
    <row r="84" spans="1:12" x14ac:dyDescent="0.25">
      <c r="A84" s="482"/>
      <c r="B84" s="482"/>
      <c r="C84" s="474" t="s">
        <v>336</v>
      </c>
      <c r="D84" s="487"/>
      <c r="E84" s="488" t="str">
        <f>CONCATENATE([44]Source!CA31,"%")</f>
        <v>65%</v>
      </c>
      <c r="F84" s="487"/>
      <c r="G84" s="487">
        <f>ROUND(([44]Source!AO31+ [44]Source!AN31)*[44]Source!AU31/100,3)</f>
        <v>284.73899999999998</v>
      </c>
      <c r="H84" s="487">
        <f>ROUND(([44]Source!AE31+ [44]Source!AF31)*[44]Source!AU31/100*[44]Source!I31,2)</f>
        <v>51.25</v>
      </c>
      <c r="I84" s="487"/>
      <c r="J84" s="487" t="str">
        <f>CONCATENATE([44]Source!AU31,"%")</f>
        <v>65%</v>
      </c>
      <c r="K84" s="487">
        <f>ROUND([44]Source!Y31,2)</f>
        <v>51.25</v>
      </c>
      <c r="L84" s="487"/>
    </row>
    <row r="85" spans="1:12" x14ac:dyDescent="0.25">
      <c r="A85" s="482"/>
      <c r="B85" s="482"/>
      <c r="C85" s="474"/>
      <c r="D85" s="489"/>
      <c r="E85" s="489"/>
      <c r="F85" s="489"/>
      <c r="G85" s="489">
        <f>ROUND(([44]Source!AO31+ [44]Source!AN31)/100*([44]Source!AT31+[44]Source!AU31)+[44]Source!AK31,2)</f>
        <v>1741.43</v>
      </c>
      <c r="H85" s="489">
        <f>ROUND([44]Source!DY31,2)</f>
        <v>313.45999999999998</v>
      </c>
      <c r="I85" s="489"/>
      <c r="J85" s="489"/>
      <c r="K85" s="489">
        <f>ROUND([44]Source!O31+[44]Source!HB31+[44]Source!X31+[44]Source!Y31,2)</f>
        <v>313.45</v>
      </c>
      <c r="L85" s="489">
        <f>ROUND([44]Source!U31,2)</f>
        <v>8.4600000000000009</v>
      </c>
    </row>
    <row r="86" spans="1:12" x14ac:dyDescent="0.25">
      <c r="A86" s="490"/>
      <c r="B86" s="490" t="str">
        <f>[44]SmtRes!I28</f>
        <v>1-2040-69</v>
      </c>
      <c r="C86" s="490" t="str">
        <f>[44]SmtRes!K28</f>
        <v>Рабочий монтажник среднего разряда 4</v>
      </c>
      <c r="D86" s="490" t="str">
        <f>[44]SmtRes!O28</f>
        <v>чел.-ч</v>
      </c>
      <c r="E86" s="490">
        <f>[44]SmtRes!Y28*[44]Source!I31</f>
        <v>8.4599999999999991</v>
      </c>
      <c r="F86" s="490">
        <f>[44]SmtRes!AU28</f>
        <v>0</v>
      </c>
      <c r="G86" s="490">
        <f>ROUND(([44]SmtRes!AE28+[44]SmtRes!AF28+[44]SmtRes!AH28),2)</f>
        <v>9.2899999999999991</v>
      </c>
      <c r="H86" s="490">
        <f>ROUND(([44]SmtRes!AE28+[44]SmtRes!AF28+[44]SmtRes!AH28)*[44]SmtRes!Y28*[44]Source!I31,2)</f>
        <v>78.59</v>
      </c>
      <c r="I86" s="490" t="str">
        <f>[44]Source!BO31</f>
        <v>м08-01-082-1</v>
      </c>
      <c r="J86" s="490">
        <f>IF([44]SmtRes!H28=1,[44]Source!BA31,IF([44]SmtRes!H28=2,[44]Source!BB31,[44]Source!BC31))</f>
        <v>1</v>
      </c>
      <c r="K86" s="490">
        <f>ROUND(([44]SmtRes!AA28+[44]SmtRes!AB28+[44]SmtRes!AD28)*[44]SmtRes!Y28*[44]Source!I31*J86,2)</f>
        <v>78.59</v>
      </c>
      <c r="L86" s="490"/>
    </row>
    <row r="87" spans="1:12" x14ac:dyDescent="0.25">
      <c r="A87" s="490"/>
      <c r="B87" s="490" t="str">
        <f>[44]SmtRes!I29</f>
        <v>2</v>
      </c>
      <c r="C87" s="490" t="str">
        <f>[44]SmtRes!K29</f>
        <v>Затраты труда машинистов</v>
      </c>
      <c r="D87" s="490" t="str">
        <f>[44]SmtRes!O29</f>
        <v>чел.час</v>
      </c>
      <c r="E87" s="490">
        <f>[44]SmtRes!Y29*[44]Source!I31</f>
        <v>1.9799999999999998E-2</v>
      </c>
      <c r="F87" s="490">
        <f>[44]SmtRes!AU29</f>
        <v>0</v>
      </c>
      <c r="G87" s="490">
        <f>ROUND(([44]SmtRes!AE29+[44]SmtRes!AF29+[44]SmtRes!AH29),2)</f>
        <v>0</v>
      </c>
      <c r="H87" s="490">
        <f>ROUND(([44]SmtRes!AE29+[44]SmtRes!AF29+[44]SmtRes!AH29)*[44]SmtRes!Y29*[44]Source!I31,2)</f>
        <v>0</v>
      </c>
      <c r="I87" s="490" t="str">
        <f>[44]Source!BO31</f>
        <v>м08-01-082-1</v>
      </c>
      <c r="J87" s="490">
        <f>IF([44]SmtRes!H29=1,[44]Source!BA31,IF([44]SmtRes!H29=2,[44]Source!BB31,[44]Source!BC31))</f>
        <v>1</v>
      </c>
      <c r="K87" s="490">
        <f>ROUND(([44]SmtRes!AA29+[44]SmtRes!AB29+[44]SmtRes!AD29)*[44]SmtRes!Y29*[44]Source!I31*J87,2)</f>
        <v>0</v>
      </c>
      <c r="L87" s="490"/>
    </row>
    <row r="88" spans="1:12" ht="28.5" x14ac:dyDescent="0.25">
      <c r="A88" s="490"/>
      <c r="B88" s="490" t="str">
        <f>[44]SmtRes!I30</f>
        <v>021102</v>
      </c>
      <c r="C88" s="490" t="str">
        <f>[44]SmtRes!K30</f>
        <v>Краны на автомобильном ходу при работе на монтаже технологического оборудования 10 т</v>
      </c>
      <c r="D88" s="490" t="str">
        <f>[44]SmtRes!O30</f>
        <v>маш.-ч</v>
      </c>
      <c r="E88" s="490">
        <f>[44]SmtRes!Y30*[44]Source!I31</f>
        <v>1.9799999999999998E-2</v>
      </c>
      <c r="F88" s="490">
        <f>[44]SmtRes!AU30</f>
        <v>0</v>
      </c>
      <c r="G88" s="490">
        <f>ROUND(([44]SmtRes!AE30+[44]SmtRes!AF30+[44]SmtRes!AH30),2)</f>
        <v>131.11000000000001</v>
      </c>
      <c r="H88" s="490">
        <f>ROUND(([44]SmtRes!AE30+[44]SmtRes!AF30+[44]SmtRes!AH30)*[44]SmtRes!Y30*[44]Source!I31,2)</f>
        <v>2.6</v>
      </c>
      <c r="I88" s="490" t="str">
        <f>[44]Source!BO31</f>
        <v>м08-01-082-1</v>
      </c>
      <c r="J88" s="490">
        <f>IF([44]SmtRes!H30=1,[44]Source!BA31,IF([44]SmtRes!H30=2,[44]Source!BB31,[44]Source!BC31))</f>
        <v>1</v>
      </c>
      <c r="K88" s="490">
        <f>ROUND(([44]SmtRes!AA30+[44]SmtRes!AB30+[44]SmtRes!AD30)*[44]SmtRes!Y30*[44]Source!I31,2)</f>
        <v>13.91</v>
      </c>
      <c r="L88" s="490"/>
    </row>
    <row r="89" spans="1:12" ht="28.5" x14ac:dyDescent="0.25">
      <c r="A89" s="490"/>
      <c r="B89" s="490" t="str">
        <f>[44]SmtRes!I31</f>
        <v>040502</v>
      </c>
      <c r="C89" s="490" t="str">
        <f>[44]SmtRes!K31</f>
        <v>Установки для сварки ручной дуговой (постоянного тока)</v>
      </c>
      <c r="D89" s="490" t="str">
        <f>[44]SmtRes!O31</f>
        <v>маш.-ч</v>
      </c>
      <c r="E89" s="490">
        <f>[44]SmtRes!Y31*[44]Source!I31</f>
        <v>3.4200000000000001E-2</v>
      </c>
      <c r="F89" s="490">
        <f>[44]SmtRes!AU31</f>
        <v>0</v>
      </c>
      <c r="G89" s="490">
        <f>ROUND(([44]SmtRes!AE31+[44]SmtRes!AF31+[44]SmtRes!AH31),2)</f>
        <v>8.1</v>
      </c>
      <c r="H89" s="490">
        <f>ROUND(([44]SmtRes!AE31+[44]SmtRes!AF31+[44]SmtRes!AH31)*[44]SmtRes!Y31*[44]Source!I31,2)</f>
        <v>0.28000000000000003</v>
      </c>
      <c r="I89" s="490" t="str">
        <f>[44]Source!BO31</f>
        <v>м08-01-082-1</v>
      </c>
      <c r="J89" s="490">
        <f>IF([44]SmtRes!H31=1,[44]Source!BA31,IF([44]SmtRes!H31=2,[44]Source!BB31,[44]Source!BC31))</f>
        <v>1</v>
      </c>
      <c r="K89" s="490">
        <f>ROUND(([44]SmtRes!AA31+[44]SmtRes!AB31+[44]SmtRes!AD31)*[44]SmtRes!Y31*[44]Source!I31,2)</f>
        <v>1.61</v>
      </c>
      <c r="L89" s="490"/>
    </row>
    <row r="90" spans="1:12" x14ac:dyDescent="0.25">
      <c r="A90" s="490"/>
      <c r="B90" s="490" t="str">
        <f>[44]SmtRes!I32</f>
        <v>400002</v>
      </c>
      <c r="C90" s="490" t="str">
        <f>[44]SmtRes!K32</f>
        <v>Автомобили бортовые, грузоподъемность до 8 т</v>
      </c>
      <c r="D90" s="490" t="str">
        <f>[44]SmtRes!O32</f>
        <v>маш.-ч</v>
      </c>
      <c r="E90" s="490">
        <f>[44]SmtRes!Y32*[44]Source!I31</f>
        <v>1.9799999999999998E-2</v>
      </c>
      <c r="F90" s="490">
        <f>[44]SmtRes!AU32</f>
        <v>0</v>
      </c>
      <c r="G90" s="490">
        <f>ROUND(([44]SmtRes!AE32+[44]SmtRes!AF32+[44]SmtRes!AH32),2)</f>
        <v>109.17</v>
      </c>
      <c r="H90" s="490">
        <f>ROUND(([44]SmtRes!AE32+[44]SmtRes!AF32+[44]SmtRes!AH32)*[44]SmtRes!Y32*[44]Source!I31,2)</f>
        <v>2.16</v>
      </c>
      <c r="I90" s="490" t="str">
        <f>[44]Source!BO31</f>
        <v>м08-01-082-1</v>
      </c>
      <c r="J90" s="490">
        <f>IF([44]SmtRes!H32=1,[44]Source!BA31,IF([44]SmtRes!H32=2,[44]Source!BB31,[44]Source!BC31))</f>
        <v>1</v>
      </c>
      <c r="K90" s="490">
        <f>ROUND(([44]SmtRes!AA32+[44]SmtRes!AB32+[44]SmtRes!AD32)*[44]SmtRes!Y32*[44]Source!I31,2)</f>
        <v>17.510000000000002</v>
      </c>
      <c r="L90" s="490"/>
    </row>
    <row r="91" spans="1:12" ht="28.5" x14ac:dyDescent="0.25">
      <c r="A91" s="490"/>
      <c r="B91" s="490" t="str">
        <f>[44]SmtRes!I33</f>
        <v>101-1755</v>
      </c>
      <c r="C91" s="490" t="str">
        <f>[44]SmtRes!K33</f>
        <v>Сталь полосовая, марка стали Ст3сп шириной 50-200 мм толщиной 4-5 мм</v>
      </c>
      <c r="D91" s="490" t="str">
        <f>[44]SmtRes!O33</f>
        <v>т</v>
      </c>
      <c r="E91" s="490">
        <f>[44]SmtRes!Y33*[44]Source!I31</f>
        <v>5.4000000000000001E-4</v>
      </c>
      <c r="F91" s="490">
        <f>[44]SmtRes!AU33</f>
        <v>0</v>
      </c>
      <c r="G91" s="490">
        <f>ROUND(([44]SmtRes!AE33+[44]SmtRes!AF33+[44]SmtRes!AH33),2)</f>
        <v>5000</v>
      </c>
      <c r="H91" s="490">
        <f>ROUND(([44]SmtRes!AE33+[44]SmtRes!AF33+[44]SmtRes!AH33)*[44]SmtRes!Y33*[44]Source!I31,2)</f>
        <v>2.7</v>
      </c>
      <c r="I91" s="490" t="str">
        <f>[44]Source!BO31</f>
        <v>м08-01-082-1</v>
      </c>
      <c r="J91" s="490">
        <f>IF([44]SmtRes!H33=1,[44]Source!BA31,IF([44]SmtRes!H33=2,[44]Source!BB31,[44]Source!BC31))</f>
        <v>1</v>
      </c>
      <c r="K91" s="490">
        <f>ROUND(([44]SmtRes!AE33+[44]SmtRes!AF33+[44]SmtRes!AH33)*[44]SmtRes!Y33*[44]Source!I31*J91,2)</f>
        <v>2.7</v>
      </c>
      <c r="L91" s="490"/>
    </row>
    <row r="92" spans="1:12" x14ac:dyDescent="0.25">
      <c r="A92" s="490"/>
      <c r="B92" s="490" t="str">
        <f>[44]SmtRes!I34</f>
        <v>101-2143</v>
      </c>
      <c r="C92" s="490" t="str">
        <f>[44]SmtRes!K34</f>
        <v>Краска</v>
      </c>
      <c r="D92" s="490" t="str">
        <f>[44]SmtRes!O34</f>
        <v>кг</v>
      </c>
      <c r="E92" s="490">
        <f>[44]SmtRes!Y34*[44]Source!I31</f>
        <v>0.14399999999999999</v>
      </c>
      <c r="F92" s="490">
        <f>[44]SmtRes!AU34</f>
        <v>0</v>
      </c>
      <c r="G92" s="490">
        <f>ROUND(([44]SmtRes!AE34+[44]SmtRes!AF34+[44]SmtRes!AH34),2)</f>
        <v>28.6</v>
      </c>
      <c r="H92" s="490">
        <f>ROUND(([44]SmtRes!AE34+[44]SmtRes!AF34+[44]SmtRes!AH34)*[44]SmtRes!Y34*[44]Source!I31,2)</f>
        <v>4.12</v>
      </c>
      <c r="I92" s="490" t="str">
        <f>[44]Source!BO31</f>
        <v>м08-01-082-1</v>
      </c>
      <c r="J92" s="490">
        <f>IF([44]SmtRes!H34=1,[44]Source!BA31,IF([44]SmtRes!H34=2,[44]Source!BB31,[44]Source!BC31))</f>
        <v>1</v>
      </c>
      <c r="K92" s="490">
        <f>ROUND(([44]SmtRes!AE34+[44]SmtRes!AF34+[44]SmtRes!AH34)*[44]SmtRes!Y34*[44]Source!I31*J92,2)</f>
        <v>4.12</v>
      </c>
      <c r="L92" s="490"/>
    </row>
    <row r="93" spans="1:12" x14ac:dyDescent="0.25">
      <c r="A93" s="490"/>
      <c r="B93" s="490" t="str">
        <f>[44]SmtRes!I35</f>
        <v>509-0100</v>
      </c>
      <c r="C93" s="490" t="str">
        <f>[44]SmtRes!K35</f>
        <v>Зажимы наборные</v>
      </c>
      <c r="D93" s="490" t="str">
        <f>[44]SmtRes!O35</f>
        <v>шт.</v>
      </c>
      <c r="E93" s="490">
        <f>[44]SmtRes!Y35*[44]Source!I31</f>
        <v>18.36</v>
      </c>
      <c r="F93" s="490">
        <f>[44]SmtRes!AU35</f>
        <v>0</v>
      </c>
      <c r="G93" s="490">
        <f>ROUND(([44]SmtRes!AE35+[44]SmtRes!AF35+[44]SmtRes!AH35),2)</f>
        <v>3.81</v>
      </c>
      <c r="H93" s="490">
        <f>ROUND(([44]SmtRes!AE35+[44]SmtRes!AF35+[44]SmtRes!AH35)*[44]SmtRes!Y35*[44]Source!I31,2)</f>
        <v>69.95</v>
      </c>
      <c r="I93" s="490" t="str">
        <f>[44]Source!BO31</f>
        <v>м08-01-082-1</v>
      </c>
      <c r="J93" s="490">
        <f>IF([44]SmtRes!H35=1,[44]Source!BA31,IF([44]SmtRes!H35=2,[44]Source!BB31,[44]Source!BC31))</f>
        <v>1</v>
      </c>
      <c r="K93" s="490">
        <f>ROUND(([44]SmtRes!AE35+[44]SmtRes!AF35+[44]SmtRes!AH35)*[44]SmtRes!Y35*[44]Source!I31*J93,2)</f>
        <v>69.95</v>
      </c>
      <c r="L93" s="490"/>
    </row>
    <row r="94" spans="1:12" x14ac:dyDescent="0.25">
      <c r="A94" s="490"/>
      <c r="B94" s="490" t="str">
        <f>[44]SmtRes!I36</f>
        <v>509-0156</v>
      </c>
      <c r="C94" s="490" t="str">
        <f>[44]SmtRes!K36</f>
        <v>Оконцеватели маркировочные</v>
      </c>
      <c r="D94" s="491" t="str">
        <f>[44]SmtRes!O36</f>
        <v>100 шт.</v>
      </c>
      <c r="E94" s="491">
        <f>[44]SmtRes!Y36*[44]Source!I31</f>
        <v>0.36719999999999997</v>
      </c>
      <c r="F94" s="491">
        <f>[44]SmtRes!AU36</f>
        <v>0</v>
      </c>
      <c r="G94" s="491">
        <f>ROUND(([44]SmtRes!AE36+[44]SmtRes!AF36+[44]SmtRes!AH36),2)</f>
        <v>68.97</v>
      </c>
      <c r="H94" s="491">
        <f>ROUND(([44]SmtRes!AE36+[44]SmtRes!AF36+[44]SmtRes!AH36)*[44]SmtRes!Y36*[44]Source!I31,2)</f>
        <v>25.33</v>
      </c>
      <c r="I94" s="491" t="str">
        <f>[44]Source!BO31</f>
        <v>м08-01-082-1</v>
      </c>
      <c r="J94" s="491">
        <f>IF([44]SmtRes!H36=1,[44]Source!BA31,IF([44]SmtRes!H36=2,[44]Source!BB31,[44]Source!BC31))</f>
        <v>1</v>
      </c>
      <c r="K94" s="491">
        <f>ROUND(([44]SmtRes!AE36+[44]SmtRes!AF36+[44]SmtRes!AH36)*[44]SmtRes!Y36*[44]Source!I31*J94,2)</f>
        <v>25.33</v>
      </c>
      <c r="L94" s="491"/>
    </row>
    <row r="95" spans="1:12" s="481" customFormat="1" ht="114" x14ac:dyDescent="0.25">
      <c r="A95" s="492" t="str">
        <f>[44]Source!E32</f>
        <v>5</v>
      </c>
      <c r="B95" s="493" t="str">
        <f>CONCATENATE([44]Source!F32,"                       ", [44]Source!EO32)</f>
        <v xml:space="preserve">34-02-019-4                       </v>
      </c>
      <c r="C95" s="494" t="str">
        <f>[44]Source!G32</f>
        <v>Устройство переходов в грунтах I-III группы для прокладки труб диаметром свыше 160 мм до 300 мм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 40 Кн</v>
      </c>
      <c r="D95" s="495" t="str">
        <f>[44]Source!H32</f>
        <v>м</v>
      </c>
      <c r="E95" s="496">
        <v>368</v>
      </c>
      <c r="F95" s="496"/>
      <c r="G95" s="496">
        <f>ROUND([44]Source!AB32+[44]Source!HA32,3)</f>
        <v>1032.8499999999999</v>
      </c>
      <c r="H95" s="496">
        <f>ROUND(([44]Source!AB32+[44]Source!HA32)*[44]Source!I32,3)</f>
        <v>380088.8</v>
      </c>
      <c r="I95" s="496"/>
      <c r="J95" s="496"/>
      <c r="K95" s="496">
        <f>ROUND([44]Source!O32,2)</f>
        <v>380088.8</v>
      </c>
      <c r="L95" s="496"/>
    </row>
    <row r="96" spans="1:12" x14ac:dyDescent="0.25">
      <c r="A96" s="482"/>
      <c r="B96" s="482"/>
      <c r="C96" s="474" t="s">
        <v>331</v>
      </c>
      <c r="D96" s="483"/>
      <c r="E96" s="483"/>
      <c r="F96" s="484" t="str">
        <f>IF([44]Source!DG32="","-",[44]Source!DG32)</f>
        <v>-</v>
      </c>
      <c r="G96" s="483">
        <f>ROUND([44]Source!AF32,3)</f>
        <v>3.3</v>
      </c>
      <c r="H96" s="483">
        <f>ROUND([44]Source!AF32*[44]Source!I32,3)</f>
        <v>1214.4000000000001</v>
      </c>
      <c r="I96" s="485">
        <f>[44]Source!BO32</f>
        <v>0</v>
      </c>
      <c r="J96" s="483">
        <f>[44]Source!BA32</f>
        <v>1</v>
      </c>
      <c r="K96" s="483">
        <f>ROUND([44]Source!S32,2)</f>
        <v>1214.4000000000001</v>
      </c>
      <c r="L96" s="483"/>
    </row>
    <row r="97" spans="1:12" x14ac:dyDescent="0.25">
      <c r="A97" s="482"/>
      <c r="B97" s="482"/>
      <c r="C97" s="474" t="s">
        <v>332</v>
      </c>
      <c r="D97" s="483"/>
      <c r="E97" s="483"/>
      <c r="F97" s="484" t="str">
        <f>IF([44]Source!DE32="","-",[44]Source!DE32)</f>
        <v>-</v>
      </c>
      <c r="G97" s="483">
        <f>ROUND([44]Source!AD32,3)</f>
        <v>894.65</v>
      </c>
      <c r="H97" s="483">
        <f>ROUND([44]Source!AD32*[44]Source!I32,3)</f>
        <v>329231.2</v>
      </c>
      <c r="I97" s="485"/>
      <c r="J97" s="483">
        <f>[44]Source!BB32</f>
        <v>1</v>
      </c>
      <c r="K97" s="483">
        <f>ROUND([44]Source!Q32,2)</f>
        <v>329231.2</v>
      </c>
      <c r="L97" s="483"/>
    </row>
    <row r="98" spans="1:12" x14ac:dyDescent="0.25">
      <c r="A98" s="482"/>
      <c r="B98" s="482"/>
      <c r="C98" s="474" t="s">
        <v>333</v>
      </c>
      <c r="D98" s="483"/>
      <c r="E98" s="483"/>
      <c r="F98" s="484" t="str">
        <f>IF([44]Source!DF32="","-",[44]Source!DF32)</f>
        <v>-</v>
      </c>
      <c r="G98" s="483">
        <f>ROUND([44]Source!AE32,3)</f>
        <v>42.73</v>
      </c>
      <c r="H98" s="483">
        <f>ROUND([44]Source!AE32*[44]Source!I32,3)</f>
        <v>15724.64</v>
      </c>
      <c r="I98" s="485"/>
      <c r="J98" s="483">
        <f>[44]Source!BS32</f>
        <v>1</v>
      </c>
      <c r="K98" s="483">
        <f>ROUND([44]Source!R32,2)</f>
        <v>15724.64</v>
      </c>
      <c r="L98" s="483"/>
    </row>
    <row r="99" spans="1:12" x14ac:dyDescent="0.25">
      <c r="A99" s="482"/>
      <c r="B99" s="482"/>
      <c r="C99" s="474" t="s">
        <v>337</v>
      </c>
      <c r="D99" s="483"/>
      <c r="E99" s="483"/>
      <c r="F99" s="484" t="str">
        <f>IF([44]Source!DD32="","-",[44]Source!DD32)</f>
        <v>-</v>
      </c>
      <c r="G99" s="483">
        <f>ROUND([44]Source!AC32+[44]Source!HA32,3)</f>
        <v>134.9</v>
      </c>
      <c r="H99" s="483">
        <f>ROUND(([44]Source!AC32+[44]Source!HA32)*[44]Source!I32,3)</f>
        <v>49643.199999999997</v>
      </c>
      <c r="I99" s="485"/>
      <c r="J99" s="483">
        <f>[44]Source!BC32</f>
        <v>1</v>
      </c>
      <c r="K99" s="483">
        <f>ROUND([44]Source!P32,2)</f>
        <v>49643.199999999997</v>
      </c>
      <c r="L99" s="483"/>
    </row>
    <row r="100" spans="1:12" x14ac:dyDescent="0.25">
      <c r="A100" s="482"/>
      <c r="B100" s="482"/>
      <c r="C100" s="474" t="s">
        <v>334</v>
      </c>
      <c r="D100" s="483"/>
      <c r="E100" s="483">
        <f>ROUND([44]Source!AH32,2)</f>
        <v>0.36</v>
      </c>
      <c r="F100" s="483"/>
      <c r="G100" s="483"/>
      <c r="H100" s="483"/>
      <c r="I100" s="483"/>
      <c r="J100" s="483"/>
      <c r="K100" s="483"/>
      <c r="L100" s="483">
        <f>ROUND([44]Source!U32,2)</f>
        <v>132.47999999999999</v>
      </c>
    </row>
    <row r="101" spans="1:12" x14ac:dyDescent="0.25">
      <c r="A101" s="482"/>
      <c r="B101" s="482"/>
      <c r="C101" s="474" t="s">
        <v>335</v>
      </c>
      <c r="D101" s="483"/>
      <c r="E101" s="486" t="str">
        <f>CONCATENATE([44]Source!BZ32,"%")</f>
        <v>100%</v>
      </c>
      <c r="F101" s="483"/>
      <c r="G101" s="483">
        <f>ROUND(([44]Source!AO32+ [44]Source!AN32)*[44]Source!AT32/100,3)</f>
        <v>39.125999999999998</v>
      </c>
      <c r="H101" s="483">
        <f>ROUND(([44]Source!AE32+ [44]Source!AF32)*[44]Source!AT32/100*[44]Source!I32,2)</f>
        <v>14398.18</v>
      </c>
      <c r="I101" s="483"/>
      <c r="J101" s="483" t="str">
        <f>CONCATENATE([44]Source!AT32,"%")</f>
        <v>85%</v>
      </c>
      <c r="K101" s="483">
        <f>ROUND([44]Source!X32,2)</f>
        <v>14398.18</v>
      </c>
      <c r="L101" s="483"/>
    </row>
    <row r="102" spans="1:12" x14ac:dyDescent="0.25">
      <c r="A102" s="482"/>
      <c r="B102" s="482"/>
      <c r="C102" s="474" t="s">
        <v>336</v>
      </c>
      <c r="D102" s="487"/>
      <c r="E102" s="488" t="str">
        <f>CONCATENATE([44]Source!CA32,"%")</f>
        <v>65%</v>
      </c>
      <c r="F102" s="487"/>
      <c r="G102" s="487">
        <f>ROUND(([44]Source!AO32+ [44]Source!AN32)*[44]Source!AU32/100,3)</f>
        <v>23.936</v>
      </c>
      <c r="H102" s="487">
        <f>ROUND(([44]Source!AE32+ [44]Source!AF32)*[44]Source!AU32/100*[44]Source!I32,2)</f>
        <v>8808.2999999999993</v>
      </c>
      <c r="I102" s="487"/>
      <c r="J102" s="487" t="str">
        <f>CONCATENATE([44]Source!AU32,"%")</f>
        <v>52%</v>
      </c>
      <c r="K102" s="487">
        <f>ROUND([44]Source!Y32,2)</f>
        <v>8808.2999999999993</v>
      </c>
      <c r="L102" s="487"/>
    </row>
    <row r="103" spans="1:12" x14ac:dyDescent="0.25">
      <c r="A103" s="482"/>
      <c r="B103" s="482"/>
      <c r="C103" s="474"/>
      <c r="D103" s="489"/>
      <c r="E103" s="489"/>
      <c r="F103" s="489"/>
      <c r="G103" s="489">
        <f>ROUND(([44]Source!AO32+ [44]Source!AN32)/100*([44]Source!AT32+[44]Source!AU32)+[44]Source!AK32,2)</f>
        <v>1095.9100000000001</v>
      </c>
      <c r="H103" s="489">
        <f>ROUND([44]Source!DY32,2)</f>
        <v>403295.28</v>
      </c>
      <c r="I103" s="489"/>
      <c r="J103" s="489"/>
      <c r="K103" s="489">
        <f>ROUND([44]Source!O32+[44]Source!HB32+[44]Source!X32+[44]Source!Y32,2)</f>
        <v>403295.28</v>
      </c>
      <c r="L103" s="489">
        <f>ROUND([44]Source!U32,2)</f>
        <v>132.47999999999999</v>
      </c>
    </row>
    <row r="104" spans="1:12" x14ac:dyDescent="0.25">
      <c r="A104" s="490"/>
      <c r="B104" s="490" t="str">
        <f>[44]SmtRes!I38</f>
        <v>1-1039-69</v>
      </c>
      <c r="C104" s="490" t="str">
        <f>[44]SmtRes!K38</f>
        <v>Рабочий строитель среднего разряда 3,9</v>
      </c>
      <c r="D104" s="490" t="str">
        <f>[44]SmtRes!O38</f>
        <v>чел.-ч</v>
      </c>
      <c r="E104" s="490">
        <f>[44]SmtRes!Y38*[44]Source!I32</f>
        <v>132.47999999999999</v>
      </c>
      <c r="F104" s="490">
        <f>[44]SmtRes!AU38</f>
        <v>0</v>
      </c>
      <c r="G104" s="490">
        <f>ROUND(([44]SmtRes!AE38+[44]SmtRes!AF38+[44]SmtRes!AH38),2)</f>
        <v>9.18</v>
      </c>
      <c r="H104" s="490">
        <f>ROUND(([44]SmtRes!AE38+[44]SmtRes!AF38+[44]SmtRes!AH38)*[44]SmtRes!Y38*[44]Source!I32,2)</f>
        <v>1216.17</v>
      </c>
      <c r="I104" s="490">
        <f>[44]Source!BO32</f>
        <v>0</v>
      </c>
      <c r="J104" s="490">
        <f>IF([44]SmtRes!H38=1,[44]Source!BA32,IF([44]SmtRes!H38=2,[44]Source!BB32,[44]Source!BC32))</f>
        <v>1</v>
      </c>
      <c r="K104" s="490">
        <f>ROUND(([44]SmtRes!AA38+[44]SmtRes!AB38+[44]SmtRes!AD38)*[44]SmtRes!Y38*[44]Source!I32*J104,2)</f>
        <v>1216.17</v>
      </c>
      <c r="L104" s="490"/>
    </row>
    <row r="105" spans="1:12" x14ac:dyDescent="0.25">
      <c r="A105" s="490"/>
      <c r="B105" s="490" t="str">
        <f>[44]SmtRes!I39</f>
        <v>2</v>
      </c>
      <c r="C105" s="490" t="str">
        <f>[44]SmtRes!K39</f>
        <v>Затраты труда машинистов</v>
      </c>
      <c r="D105" s="490" t="str">
        <f>[44]SmtRes!O39</f>
        <v>чел.час</v>
      </c>
      <c r="E105" s="490">
        <f>[44]SmtRes!Y39*[44]Source!I32</f>
        <v>1339.52</v>
      </c>
      <c r="F105" s="490">
        <f>[44]SmtRes!AU39</f>
        <v>0</v>
      </c>
      <c r="G105" s="490">
        <f>ROUND(([44]SmtRes!AE39+[44]SmtRes!AF39+[44]SmtRes!AH39),2)</f>
        <v>0</v>
      </c>
      <c r="H105" s="490">
        <f>ROUND(([44]SmtRes!AE39+[44]SmtRes!AF39+[44]SmtRes!AH39)*[44]SmtRes!Y39*[44]Source!I32,2)</f>
        <v>0</v>
      </c>
      <c r="I105" s="490">
        <f>[44]Source!BO32</f>
        <v>0</v>
      </c>
      <c r="J105" s="490">
        <f>IF([44]SmtRes!H39=1,[44]Source!BA32,IF([44]SmtRes!H39=2,[44]Source!BB32,[44]Source!BC32))</f>
        <v>1</v>
      </c>
      <c r="K105" s="490">
        <f>ROUND(([44]SmtRes!AA39+[44]SmtRes!AB39+[44]SmtRes!AD39)*[44]SmtRes!Y39*[44]Source!I32*J105,2)</f>
        <v>0</v>
      </c>
      <c r="L105" s="490"/>
    </row>
    <row r="106" spans="1:12" ht="28.5" x14ac:dyDescent="0.25">
      <c r="A106" s="490"/>
      <c r="B106" s="490" t="str">
        <f>[44]SmtRes!I40</f>
        <v>021141</v>
      </c>
      <c r="C106" s="490" t="str">
        <f>[44]SmtRes!K40</f>
        <v>Краны на автомобильном ходу при работе на других видах строительства: 10т</v>
      </c>
      <c r="D106" s="490" t="str">
        <f>[44]SmtRes!O40</f>
        <v>маш.-ч</v>
      </c>
      <c r="E106" s="490">
        <f>[44]SmtRes!Y40*[44]Source!I32</f>
        <v>14.72</v>
      </c>
      <c r="F106" s="490">
        <f>[44]SmtRes!AU40</f>
        <v>0</v>
      </c>
      <c r="G106" s="490">
        <f>ROUND(([44]SmtRes!AE40+[44]SmtRes!AF40+[44]SmtRes!AH40),2)</f>
        <v>108.45</v>
      </c>
      <c r="H106" s="490">
        <f>ROUND(([44]SmtRes!AE40+[44]SmtRes!AF40+[44]SmtRes!AH40)*[44]SmtRes!Y40*[44]Source!I32,2)</f>
        <v>1596.38</v>
      </c>
      <c r="I106" s="490">
        <f>[44]Source!BO32</f>
        <v>0</v>
      </c>
      <c r="J106" s="490">
        <f>IF([44]SmtRes!H40=1,[44]Source!BA32,IF([44]SmtRes!H40=2,[44]Source!BB32,[44]Source!BC32))</f>
        <v>1</v>
      </c>
      <c r="K106" s="490">
        <f>ROUND(([44]SmtRes!AA40+[44]SmtRes!AB40+[44]SmtRes!AD40)*[44]SmtRes!Y40*[44]Source!I32,2)</f>
        <v>9243.1299999999992</v>
      </c>
      <c r="L106" s="490"/>
    </row>
    <row r="107" spans="1:12" x14ac:dyDescent="0.25">
      <c r="A107" s="490"/>
      <c r="B107" s="490" t="str">
        <f>[44]SmtRes!I41</f>
        <v>081600</v>
      </c>
      <c r="C107" s="490" t="str">
        <f>[44]SmtRes!K41</f>
        <v>Агрегаты для сварки полиэтиленовых труб</v>
      </c>
      <c r="D107" s="490" t="str">
        <f>[44]SmtRes!O41</f>
        <v>маш.-ч</v>
      </c>
      <c r="E107" s="490">
        <f>[44]SmtRes!Y41*[44]Source!I32</f>
        <v>44.16</v>
      </c>
      <c r="F107" s="490">
        <f>[44]SmtRes!AU41</f>
        <v>0</v>
      </c>
      <c r="G107" s="490">
        <f>ROUND(([44]SmtRes!AE41+[44]SmtRes!AF41+[44]SmtRes!AH41),2)</f>
        <v>96.1</v>
      </c>
      <c r="H107" s="490">
        <f>ROUND(([44]SmtRes!AE41+[44]SmtRes!AF41+[44]SmtRes!AH41)*[44]SmtRes!Y41*[44]Source!I32,2)</f>
        <v>4243.78</v>
      </c>
      <c r="I107" s="490">
        <f>[44]Source!BO32</f>
        <v>0</v>
      </c>
      <c r="J107" s="490">
        <f>IF([44]SmtRes!H41=1,[44]Source!BA32,IF([44]SmtRes!H41=2,[44]Source!BB32,[44]Source!BC32))</f>
        <v>1</v>
      </c>
      <c r="K107" s="490">
        <f>ROUND(([44]SmtRes!AA41+[44]SmtRes!AB41+[44]SmtRes!AD41)*[44]SmtRes!Y41*[44]Source!I32,2)</f>
        <v>32295.09</v>
      </c>
      <c r="L107" s="490"/>
    </row>
    <row r="108" spans="1:12" x14ac:dyDescent="0.25">
      <c r="A108" s="490"/>
      <c r="B108" s="490" t="str">
        <f>[44]SmtRes!I42</f>
        <v>121601</v>
      </c>
      <c r="C108" s="490" t="str">
        <f>[44]SmtRes!K42</f>
        <v>Машины поливомоечные 6000 л</v>
      </c>
      <c r="D108" s="490" t="str">
        <f>[44]SmtRes!O42</f>
        <v>маш.-ч</v>
      </c>
      <c r="E108" s="490">
        <f>[44]SmtRes!Y42*[44]Source!I32</f>
        <v>253.92</v>
      </c>
      <c r="F108" s="490">
        <f>[44]SmtRes!AU42</f>
        <v>0</v>
      </c>
      <c r="G108" s="490">
        <f>ROUND(([44]SmtRes!AE42+[44]SmtRes!AF42+[44]SmtRes!AH42),2)</f>
        <v>125.88</v>
      </c>
      <c r="H108" s="490">
        <f>ROUND(([44]SmtRes!AE42+[44]SmtRes!AF42+[44]SmtRes!AH42)*[44]SmtRes!Y42*[44]Source!I32,2)</f>
        <v>31963.45</v>
      </c>
      <c r="I108" s="490">
        <f>[44]Source!BO32</f>
        <v>0</v>
      </c>
      <c r="J108" s="490">
        <f>IF([44]SmtRes!H42=1,[44]Source!BA32,IF([44]SmtRes!H42=2,[44]Source!BB32,[44]Source!BC32))</f>
        <v>1</v>
      </c>
      <c r="K108" s="490">
        <f>ROUND(([44]SmtRes!AA42+[44]SmtRes!AB42+[44]SmtRes!AD42)*[44]SmtRes!Y42*[44]Source!I32,2)</f>
        <v>201368.72</v>
      </c>
      <c r="L108" s="490"/>
    </row>
    <row r="109" spans="1:12" ht="42.75" x14ac:dyDescent="0.25">
      <c r="A109" s="490"/>
      <c r="B109" s="490" t="str">
        <f>[44]SmtRes!I43</f>
        <v>380601</v>
      </c>
      <c r="C109" s="490" t="str">
        <f>[44]SmtRes!K43</f>
        <v>Установки направленного бурения для бестраншейной прокладки типа «Навигатор» с тяговым усилием: 40 Кн</v>
      </c>
      <c r="D109" s="490" t="str">
        <f>[44]SmtRes!O43</f>
        <v>маш.-ч</v>
      </c>
      <c r="E109" s="490">
        <f>[44]SmtRes!Y43*[44]Source!I32</f>
        <v>342.24</v>
      </c>
      <c r="F109" s="490">
        <f>[44]SmtRes!AU43</f>
        <v>0</v>
      </c>
      <c r="G109" s="490">
        <f>ROUND(([44]SmtRes!AE43+[44]SmtRes!AF43+[44]SmtRes!AH43),2)</f>
        <v>846.04</v>
      </c>
      <c r="H109" s="490">
        <f>ROUND(([44]SmtRes!AE43+[44]SmtRes!AF43+[44]SmtRes!AH43)*[44]SmtRes!Y43*[44]Source!I32,2)</f>
        <v>289548.73</v>
      </c>
      <c r="I109" s="490">
        <f>[44]Source!BO32</f>
        <v>0</v>
      </c>
      <c r="J109" s="490">
        <f>IF([44]SmtRes!H43=1,[44]Source!BA32,IF([44]SmtRes!H43=2,[44]Source!BB32,[44]Source!BC32))</f>
        <v>1</v>
      </c>
      <c r="K109" s="490">
        <f>ROUND(([44]SmtRes!AA43+[44]SmtRes!AB43+[44]SmtRes!AD43)*[44]SmtRes!Y43*[44]Source!I32,2)</f>
        <v>1152404.22</v>
      </c>
      <c r="L109" s="490"/>
    </row>
    <row r="110" spans="1:12" ht="28.5" x14ac:dyDescent="0.25">
      <c r="A110" s="490"/>
      <c r="B110" s="490" t="str">
        <f>[44]SmtRes!I44</f>
        <v>400003</v>
      </c>
      <c r="C110" s="490" t="str">
        <f>[44]SmtRes!K44</f>
        <v>Автомобили бортовые, грузоподъемность: до 10т</v>
      </c>
      <c r="D110" s="490" t="str">
        <f>[44]SmtRes!O44</f>
        <v>маш.-ч</v>
      </c>
      <c r="E110" s="490">
        <f>[44]SmtRes!Y44*[44]Source!I32</f>
        <v>18.400000000000002</v>
      </c>
      <c r="F110" s="490">
        <f>[44]SmtRes!AU44</f>
        <v>0</v>
      </c>
      <c r="G110" s="490">
        <f>ROUND(([44]SmtRes!AE44+[44]SmtRes!AF44+[44]SmtRes!AH44),2)</f>
        <v>102.14</v>
      </c>
      <c r="H110" s="490">
        <f>ROUND(([44]SmtRes!AE44+[44]SmtRes!AF44+[44]SmtRes!AH44)*[44]SmtRes!Y44*[44]Source!I32,2)</f>
        <v>1879.38</v>
      </c>
      <c r="I110" s="490">
        <f>[44]Source!BO32</f>
        <v>0</v>
      </c>
      <c r="J110" s="490">
        <f>IF([44]SmtRes!H44=1,[44]Source!BA32,IF([44]SmtRes!H44=2,[44]Source!BB32,[44]Source!BC32))</f>
        <v>1</v>
      </c>
      <c r="K110" s="490">
        <f>ROUND(([44]SmtRes!AA44+[44]SmtRes!AB44+[44]SmtRes!AD44)*[44]SmtRes!Y44*[44]Source!I32,2)</f>
        <v>15993.46</v>
      </c>
      <c r="L110" s="490"/>
    </row>
    <row r="111" spans="1:12" x14ac:dyDescent="0.25">
      <c r="A111" s="490"/>
      <c r="B111" s="490" t="str">
        <f>[44]SmtRes!I45</f>
        <v>109-0012</v>
      </c>
      <c r="C111" s="490" t="str">
        <f>[44]SmtRes!K45</f>
        <v>Глина бентонитовая марки ПБМГ</v>
      </c>
      <c r="D111" s="490" t="str">
        <f>[44]SmtRes!O45</f>
        <v>т</v>
      </c>
      <c r="E111" s="490">
        <f>[44]SmtRes!Y45*[44]Source!I32</f>
        <v>9.0527999999999995</v>
      </c>
      <c r="F111" s="490">
        <f>[44]SmtRes!AU45</f>
        <v>0</v>
      </c>
      <c r="G111" s="490">
        <f>ROUND(([44]SmtRes!AE45+[44]SmtRes!AF45+[44]SmtRes!AH45),2)</f>
        <v>557</v>
      </c>
      <c r="H111" s="490">
        <f>ROUND(([44]SmtRes!AE45+[44]SmtRes!AF45+[44]SmtRes!AH45)*[44]SmtRes!Y45*[44]Source!I32,2)</f>
        <v>5042.41</v>
      </c>
      <c r="I111" s="490">
        <f>[44]Source!BO32</f>
        <v>0</v>
      </c>
      <c r="J111" s="490">
        <f>IF([44]SmtRes!H45=1,[44]Source!BA32,IF([44]SmtRes!H45=2,[44]Source!BB32,[44]Source!BC32))</f>
        <v>1</v>
      </c>
      <c r="K111" s="490">
        <f>ROUND(([44]SmtRes!AE45+[44]SmtRes!AF45+[44]SmtRes!AH45)*[44]SmtRes!Y45*[44]Source!I32*J111,2)</f>
        <v>5042.41</v>
      </c>
      <c r="L111" s="490"/>
    </row>
    <row r="112" spans="1:12" ht="28.5" x14ac:dyDescent="0.25">
      <c r="A112" s="490"/>
      <c r="B112" s="490" t="str">
        <f>[44]SmtRes!I46</f>
        <v>110-0245</v>
      </c>
      <c r="C112" s="490" t="str">
        <f>[44]SmtRes!K46</f>
        <v>Полимер для стабилизации буровых скважин «ФИЛЬТР ЧЕК»</v>
      </c>
      <c r="D112" s="490" t="str">
        <f>[44]SmtRes!O46</f>
        <v>т</v>
      </c>
      <c r="E112" s="490">
        <f>[44]SmtRes!Y46*[44]Source!I32</f>
        <v>1.1408</v>
      </c>
      <c r="F112" s="490">
        <f>[44]SmtRes!AU46</f>
        <v>0</v>
      </c>
      <c r="G112" s="490">
        <f>ROUND(([44]SmtRes!AE46+[44]SmtRes!AF46+[44]SmtRes!AH46),2)</f>
        <v>13820.25</v>
      </c>
      <c r="H112" s="490">
        <f>ROUND(([44]SmtRes!AE46+[44]SmtRes!AF46+[44]SmtRes!AH46)*[44]SmtRes!Y46*[44]Source!I32,2)</f>
        <v>15766.14</v>
      </c>
      <c r="I112" s="490">
        <f>[44]Source!BO32</f>
        <v>0</v>
      </c>
      <c r="J112" s="490">
        <f>IF([44]SmtRes!H46=1,[44]Source!BA32,IF([44]SmtRes!H46=2,[44]Source!BB32,[44]Source!BC32))</f>
        <v>1</v>
      </c>
      <c r="K112" s="490">
        <f>ROUND(([44]SmtRes!AE46+[44]SmtRes!AF46+[44]SmtRes!AH46)*[44]SmtRes!Y46*[44]Source!I32*J112,2)</f>
        <v>15766.14</v>
      </c>
      <c r="L112" s="490"/>
    </row>
    <row r="113" spans="1:12" ht="28.5" x14ac:dyDescent="0.25">
      <c r="A113" s="490"/>
      <c r="B113" s="490" t="str">
        <f>[44]SmtRes!I47</f>
        <v>110-0246</v>
      </c>
      <c r="C113" s="490" t="str">
        <f>[44]SmtRes!K47</f>
        <v>Полимер для стабилизации буровых скважин «ИЗ МАД»</v>
      </c>
      <c r="D113" s="490" t="str">
        <f>[44]SmtRes!O47</f>
        <v>т</v>
      </c>
      <c r="E113" s="490">
        <f>[44]SmtRes!Y47*[44]Source!I32</f>
        <v>0.44159999999999994</v>
      </c>
      <c r="F113" s="490">
        <f>[44]SmtRes!AU47</f>
        <v>0</v>
      </c>
      <c r="G113" s="490">
        <f>ROUND(([44]SmtRes!AE47+[44]SmtRes!AF47+[44]SmtRes!AH47),2)</f>
        <v>64460.43</v>
      </c>
      <c r="H113" s="490">
        <f>ROUND(([44]SmtRes!AE47+[44]SmtRes!AF47+[44]SmtRes!AH47)*[44]SmtRes!Y47*[44]Source!I32,2)</f>
        <v>28465.73</v>
      </c>
      <c r="I113" s="490">
        <f>[44]Source!BO32</f>
        <v>0</v>
      </c>
      <c r="J113" s="490">
        <f>IF([44]SmtRes!H47=1,[44]Source!BA32,IF([44]SmtRes!H47=2,[44]Source!BB32,[44]Source!BC32))</f>
        <v>1</v>
      </c>
      <c r="K113" s="490">
        <f>ROUND(([44]SmtRes!AE47+[44]SmtRes!AF47+[44]SmtRes!AH47)*[44]SmtRes!Y47*[44]Source!I32*J113,2)</f>
        <v>28465.73</v>
      </c>
      <c r="L113" s="490"/>
    </row>
    <row r="114" spans="1:12" x14ac:dyDescent="0.25">
      <c r="A114" s="490"/>
      <c r="B114" s="490" t="str">
        <f>[44]SmtRes!I48</f>
        <v>411-0001</v>
      </c>
      <c r="C114" s="490" t="str">
        <f>[44]SmtRes!K48</f>
        <v>Вода</v>
      </c>
      <c r="D114" s="491" t="str">
        <f>[44]SmtRes!O48</f>
        <v>м3</v>
      </c>
      <c r="E114" s="491">
        <f>[44]SmtRes!Y48*[44]Source!I32</f>
        <v>150.88</v>
      </c>
      <c r="F114" s="491">
        <f>[44]SmtRes!AU48</f>
        <v>0</v>
      </c>
      <c r="G114" s="491">
        <f>ROUND(([44]SmtRes!AE48+[44]SmtRes!AF48+[44]SmtRes!AH48),2)</f>
        <v>2.4500000000000002</v>
      </c>
      <c r="H114" s="491">
        <f>ROUND(([44]SmtRes!AE48+[44]SmtRes!AF48+[44]SmtRes!AH48)*[44]SmtRes!Y48*[44]Source!I32,2)</f>
        <v>369.66</v>
      </c>
      <c r="I114" s="491">
        <f>[44]Source!BO32</f>
        <v>0</v>
      </c>
      <c r="J114" s="491">
        <f>IF([44]SmtRes!H48=1,[44]Source!BA32,IF([44]SmtRes!H48=2,[44]Source!BB32,[44]Source!BC32))</f>
        <v>1</v>
      </c>
      <c r="K114" s="491">
        <f>ROUND(([44]SmtRes!AE48+[44]SmtRes!AF48+[44]SmtRes!AH48)*[44]SmtRes!Y48*[44]Source!I32*J114,2)</f>
        <v>369.66</v>
      </c>
      <c r="L114" s="491"/>
    </row>
    <row r="115" spans="1:12" s="481" customFormat="1" ht="28.5" x14ac:dyDescent="0.25">
      <c r="A115" s="492" t="str">
        <f>[44]Source!E33</f>
        <v>6</v>
      </c>
      <c r="B115" s="493" t="str">
        <f>CONCATENATE([44]Source!F33,"                       ", [44]Source!EO33)</f>
        <v xml:space="preserve">м08-02-148-4                       </v>
      </c>
      <c r="C115" s="494" t="str">
        <f>[44]Source!G33</f>
        <v>Кабель до 35 кВ в проложенных трубах, блоках и коробах, масса 1 м кабеля до 6 кг</v>
      </c>
      <c r="D115" s="495" t="str">
        <f>[44]Source!H33</f>
        <v>100 М КАБЕЛЯ</v>
      </c>
      <c r="E115" s="496">
        <v>3.68</v>
      </c>
      <c r="F115" s="496"/>
      <c r="G115" s="496">
        <f>ROUND([44]Source!AB33+[44]Source!HA33,3)</f>
        <v>345.59</v>
      </c>
      <c r="H115" s="496">
        <f>ROUND(([44]Source!AB33+[44]Source!HA33)*[44]Source!I33,3)</f>
        <v>1271.771</v>
      </c>
      <c r="I115" s="496"/>
      <c r="J115" s="496"/>
      <c r="K115" s="496">
        <f>ROUND([44]Source!O33,2)</f>
        <v>1271.77</v>
      </c>
      <c r="L115" s="496"/>
    </row>
    <row r="116" spans="1:12" x14ac:dyDescent="0.25">
      <c r="A116" s="482"/>
      <c r="B116" s="482"/>
      <c r="C116" s="474" t="s">
        <v>331</v>
      </c>
      <c r="D116" s="483"/>
      <c r="E116" s="483"/>
      <c r="F116" s="484" t="str">
        <f>IF([44]Source!DG33="","-",[44]Source!DG33)</f>
        <v>-</v>
      </c>
      <c r="G116" s="483">
        <f>ROUND([44]Source!AF33,3)</f>
        <v>214.04</v>
      </c>
      <c r="H116" s="483">
        <f>ROUND([44]Source!AF33*[44]Source!I33,3)</f>
        <v>787.66700000000003</v>
      </c>
      <c r="I116" s="485" t="str">
        <f>[44]Source!BO33</f>
        <v>м08-02-148-4</v>
      </c>
      <c r="J116" s="483">
        <f>[44]Source!BA33</f>
        <v>1</v>
      </c>
      <c r="K116" s="483">
        <f>ROUND([44]Source!S33,2)</f>
        <v>787.67</v>
      </c>
      <c r="L116" s="483"/>
    </row>
    <row r="117" spans="1:12" x14ac:dyDescent="0.25">
      <c r="A117" s="482"/>
      <c r="B117" s="482"/>
      <c r="C117" s="474" t="s">
        <v>332</v>
      </c>
      <c r="D117" s="483"/>
      <c r="E117" s="483"/>
      <c r="F117" s="484" t="str">
        <f>IF([44]Source!DE33="","-",[44]Source!DE33)</f>
        <v>-</v>
      </c>
      <c r="G117" s="483">
        <f>ROUND([44]Source!AD33,3)</f>
        <v>92.19</v>
      </c>
      <c r="H117" s="483">
        <f>ROUND([44]Source!AD33*[44]Source!I33,3)</f>
        <v>339.25900000000001</v>
      </c>
      <c r="I117" s="485"/>
      <c r="J117" s="483">
        <f>[44]Source!BB33</f>
        <v>1</v>
      </c>
      <c r="K117" s="483">
        <f>ROUND([44]Source!Q33,2)</f>
        <v>339.26</v>
      </c>
      <c r="L117" s="483"/>
    </row>
    <row r="118" spans="1:12" x14ac:dyDescent="0.25">
      <c r="A118" s="482"/>
      <c r="B118" s="482"/>
      <c r="C118" s="474" t="s">
        <v>333</v>
      </c>
      <c r="D118" s="483"/>
      <c r="E118" s="483"/>
      <c r="F118" s="484" t="str">
        <f>IF([44]Source!DF33="","-",[44]Source!DF33)</f>
        <v>-</v>
      </c>
      <c r="G118" s="483">
        <f>ROUND([44]Source!AE33,3)</f>
        <v>2.61</v>
      </c>
      <c r="H118" s="483">
        <f>ROUND([44]Source!AE33*[44]Source!I33,3)</f>
        <v>9.6050000000000004</v>
      </c>
      <c r="I118" s="485"/>
      <c r="J118" s="483">
        <f>[44]Source!BS33</f>
        <v>1</v>
      </c>
      <c r="K118" s="483">
        <f>ROUND([44]Source!R33,2)</f>
        <v>9.6</v>
      </c>
      <c r="L118" s="483"/>
    </row>
    <row r="119" spans="1:12" x14ac:dyDescent="0.25">
      <c r="A119" s="482"/>
      <c r="B119" s="482"/>
      <c r="C119" s="474" t="s">
        <v>337</v>
      </c>
      <c r="D119" s="483"/>
      <c r="E119" s="483"/>
      <c r="F119" s="484" t="str">
        <f>IF([44]Source!DD33="","-",[44]Source!DD33)</f>
        <v>-</v>
      </c>
      <c r="G119" s="483">
        <f>ROUND([44]Source!AC33+[44]Source!HA33,3)</f>
        <v>39.36</v>
      </c>
      <c r="H119" s="483">
        <f>ROUND(([44]Source!AC33+[44]Source!HA33)*[44]Source!I33,3)</f>
        <v>144.845</v>
      </c>
      <c r="I119" s="485"/>
      <c r="J119" s="483">
        <f>[44]Source!BC33</f>
        <v>1</v>
      </c>
      <c r="K119" s="483">
        <f>ROUND([44]Source!P33,2)</f>
        <v>144.84</v>
      </c>
      <c r="L119" s="483"/>
    </row>
    <row r="120" spans="1:12" x14ac:dyDescent="0.25">
      <c r="A120" s="482"/>
      <c r="B120" s="482"/>
      <c r="C120" s="474" t="s">
        <v>334</v>
      </c>
      <c r="D120" s="483"/>
      <c r="E120" s="483">
        <f>ROUND([44]Source!AH33,2)</f>
        <v>23.04</v>
      </c>
      <c r="F120" s="483"/>
      <c r="G120" s="483"/>
      <c r="H120" s="483"/>
      <c r="I120" s="483"/>
      <c r="J120" s="483"/>
      <c r="K120" s="483"/>
      <c r="L120" s="483">
        <f>ROUND([44]Source!U33,2)</f>
        <v>84.79</v>
      </c>
    </row>
    <row r="121" spans="1:12" x14ac:dyDescent="0.25">
      <c r="A121" s="482"/>
      <c r="B121" s="482"/>
      <c r="C121" s="474" t="s">
        <v>335</v>
      </c>
      <c r="D121" s="483"/>
      <c r="E121" s="486" t="str">
        <f>CONCATENATE([44]Source!BZ33,"%")</f>
        <v>95%</v>
      </c>
      <c r="F121" s="483"/>
      <c r="G121" s="483">
        <f>ROUND(([44]Source!AO33+ [44]Source!AN33)*[44]Source!AT33/100,3)</f>
        <v>205.81800000000001</v>
      </c>
      <c r="H121" s="483">
        <f>ROUND(([44]Source!AE33+ [44]Source!AF33)*[44]Source!AT33/100*[44]Source!I33,2)</f>
        <v>757.41</v>
      </c>
      <c r="I121" s="483"/>
      <c r="J121" s="483" t="str">
        <f>CONCATENATE([44]Source!AT33,"%")</f>
        <v>95%</v>
      </c>
      <c r="K121" s="483">
        <f>ROUND([44]Source!X33,2)</f>
        <v>757.41</v>
      </c>
      <c r="L121" s="483"/>
    </row>
    <row r="122" spans="1:12" x14ac:dyDescent="0.25">
      <c r="A122" s="482"/>
      <c r="B122" s="482"/>
      <c r="C122" s="474" t="s">
        <v>336</v>
      </c>
      <c r="D122" s="487"/>
      <c r="E122" s="488" t="str">
        <f>CONCATENATE([44]Source!CA33,"%")</f>
        <v>65%</v>
      </c>
      <c r="F122" s="487"/>
      <c r="G122" s="487">
        <f>ROUND(([44]Source!AO33+ [44]Source!AN33)*[44]Source!AU33/100,3)</f>
        <v>140.82300000000001</v>
      </c>
      <c r="H122" s="487">
        <f>ROUND(([44]Source!AE33+ [44]Source!AF33)*[44]Source!AU33/100*[44]Source!I33,2)</f>
        <v>518.23</v>
      </c>
      <c r="I122" s="487"/>
      <c r="J122" s="487" t="str">
        <f>CONCATENATE([44]Source!AU33,"%")</f>
        <v>65%</v>
      </c>
      <c r="K122" s="487">
        <f>ROUND([44]Source!Y33,2)</f>
        <v>518.23</v>
      </c>
      <c r="L122" s="487"/>
    </row>
    <row r="123" spans="1:12" x14ac:dyDescent="0.25">
      <c r="A123" s="482"/>
      <c r="B123" s="482"/>
      <c r="C123" s="474"/>
      <c r="D123" s="489"/>
      <c r="E123" s="489"/>
      <c r="F123" s="489"/>
      <c r="G123" s="489">
        <f>ROUND(([44]Source!AO33+ [44]Source!AN33)/100*([44]Source!AT33+[44]Source!AU33)+[44]Source!AK33,2)</f>
        <v>692.23</v>
      </c>
      <c r="H123" s="489">
        <f>ROUND([44]Source!DY33,2)</f>
        <v>2547.41</v>
      </c>
      <c r="I123" s="489"/>
      <c r="J123" s="489"/>
      <c r="K123" s="489">
        <f>ROUND([44]Source!O33+[44]Source!HB33+[44]Source!X33+[44]Source!Y33,2)</f>
        <v>2547.41</v>
      </c>
      <c r="L123" s="489">
        <f>ROUND([44]Source!U33,2)</f>
        <v>84.79</v>
      </c>
    </row>
    <row r="124" spans="1:12" x14ac:dyDescent="0.25">
      <c r="A124" s="490"/>
      <c r="B124" s="490" t="str">
        <f>[44]SmtRes!I50</f>
        <v>1-2040-69</v>
      </c>
      <c r="C124" s="490" t="str">
        <f>[44]SmtRes!K50</f>
        <v>Рабочий монтажник среднего разряда 4</v>
      </c>
      <c r="D124" s="490" t="str">
        <f>[44]SmtRes!O50</f>
        <v>чел.-ч</v>
      </c>
      <c r="E124" s="490">
        <f>[44]SmtRes!Y50*[44]Source!I33</f>
        <v>84.787199999999999</v>
      </c>
      <c r="F124" s="490">
        <f>[44]SmtRes!AU50</f>
        <v>0</v>
      </c>
      <c r="G124" s="490">
        <f>ROUND(([44]SmtRes!AE50+[44]SmtRes!AF50+[44]SmtRes!AH50),2)</f>
        <v>9.2899999999999991</v>
      </c>
      <c r="H124" s="490">
        <f>ROUND(([44]SmtRes!AE50+[44]SmtRes!AF50+[44]SmtRes!AH50)*[44]SmtRes!Y50*[44]Source!I33,2)</f>
        <v>787.67</v>
      </c>
      <c r="I124" s="490" t="str">
        <f>[44]Source!BO33</f>
        <v>м08-02-148-4</v>
      </c>
      <c r="J124" s="490">
        <f>IF([44]SmtRes!H50=1,[44]Source!BA33,IF([44]SmtRes!H50=2,[44]Source!BB33,[44]Source!BC33))</f>
        <v>1</v>
      </c>
      <c r="K124" s="490">
        <f>ROUND(([44]SmtRes!AA50+[44]SmtRes!AB50+[44]SmtRes!AD50)*[44]SmtRes!Y50*[44]Source!I33*J124,2)</f>
        <v>787.67</v>
      </c>
      <c r="L124" s="490"/>
    </row>
    <row r="125" spans="1:12" x14ac:dyDescent="0.25">
      <c r="A125" s="490"/>
      <c r="B125" s="490" t="str">
        <f>[44]SmtRes!I51</f>
        <v>2-69</v>
      </c>
      <c r="C125" s="490" t="str">
        <f>[44]SmtRes!K51</f>
        <v>Затраты труда машинистов</v>
      </c>
      <c r="D125" s="490" t="str">
        <f>[44]SmtRes!O51</f>
        <v>чел.час</v>
      </c>
      <c r="E125" s="490">
        <f>[44]SmtRes!Y51*[44]Source!I33</f>
        <v>0.7360000000000001</v>
      </c>
      <c r="F125" s="490">
        <f>[44]SmtRes!AU51</f>
        <v>0</v>
      </c>
      <c r="G125" s="490">
        <f>ROUND(([44]SmtRes!AE51+[44]SmtRes!AF51+[44]SmtRes!AH51),2)</f>
        <v>0</v>
      </c>
      <c r="H125" s="490">
        <f>ROUND(([44]SmtRes!AE51+[44]SmtRes!AF51+[44]SmtRes!AH51)*[44]SmtRes!Y51*[44]Source!I33,2)</f>
        <v>0</v>
      </c>
      <c r="I125" s="490" t="str">
        <f>[44]Source!BO33</f>
        <v>м08-02-148-4</v>
      </c>
      <c r="J125" s="490">
        <f>IF([44]SmtRes!H51=1,[44]Source!BA33,IF([44]SmtRes!H51=2,[44]Source!BB33,[44]Source!BC33))</f>
        <v>1</v>
      </c>
      <c r="K125" s="490">
        <f>ROUND(([44]SmtRes!AA51+[44]SmtRes!AB51+[44]SmtRes!AD51)*[44]SmtRes!Y51*[44]Source!I33*J125,2)</f>
        <v>0</v>
      </c>
      <c r="L125" s="490"/>
    </row>
    <row r="126" spans="1:12" ht="28.5" x14ac:dyDescent="0.25">
      <c r="A126" s="490"/>
      <c r="B126" s="490" t="str">
        <f>[44]SmtRes!I52</f>
        <v>021102</v>
      </c>
      <c r="C126" s="490" t="str">
        <f>[44]SmtRes!K52</f>
        <v>Краны на автомобильном ходу при работе на монтаже технологического оборудования 10 т</v>
      </c>
      <c r="D126" s="490" t="str">
        <f>[44]SmtRes!O52</f>
        <v>маш.-ч</v>
      </c>
      <c r="E126" s="490">
        <f>[44]SmtRes!Y52*[44]Source!I33</f>
        <v>0.7360000000000001</v>
      </c>
      <c r="F126" s="490">
        <f>[44]SmtRes!AU52</f>
        <v>0</v>
      </c>
      <c r="G126" s="490">
        <f>ROUND(([44]SmtRes!AE52+[44]SmtRes!AF52+[44]SmtRes!AH52),2)</f>
        <v>131.11000000000001</v>
      </c>
      <c r="H126" s="490">
        <f>ROUND(([44]SmtRes!AE52+[44]SmtRes!AF52+[44]SmtRes!AH52)*[44]SmtRes!Y52*[44]Source!I33,2)</f>
        <v>96.5</v>
      </c>
      <c r="I126" s="490" t="str">
        <f>[44]Source!BO33</f>
        <v>м08-02-148-4</v>
      </c>
      <c r="J126" s="490">
        <f>IF([44]SmtRes!H52=1,[44]Source!BA33,IF([44]SmtRes!H52=2,[44]Source!BB33,[44]Source!BC33))</f>
        <v>1</v>
      </c>
      <c r="K126" s="490">
        <f>ROUND(([44]SmtRes!AA52+[44]SmtRes!AB52+[44]SmtRes!AD52)*[44]SmtRes!Y52*[44]Source!I33,2)</f>
        <v>517.22</v>
      </c>
      <c r="L126" s="490"/>
    </row>
    <row r="127" spans="1:12" ht="28.5" x14ac:dyDescent="0.25">
      <c r="A127" s="490"/>
      <c r="B127" s="490" t="str">
        <f>[44]SmtRes!I53</f>
        <v>030203</v>
      </c>
      <c r="C127" s="490" t="str">
        <f>[44]SmtRes!K53</f>
        <v>Домкраты гидравлические грузоподъемностью 63-100 т</v>
      </c>
      <c r="D127" s="490" t="str">
        <f>[44]SmtRes!O53</f>
        <v>маш.-ч</v>
      </c>
      <c r="E127" s="490">
        <f>[44]SmtRes!Y53*[44]Source!I33</f>
        <v>18.915199999999999</v>
      </c>
      <c r="F127" s="490">
        <f>[44]SmtRes!AU53</f>
        <v>0</v>
      </c>
      <c r="G127" s="490">
        <f>ROUND(([44]SmtRes!AE53+[44]SmtRes!AF53+[44]SmtRes!AH53),2)</f>
        <v>2.37</v>
      </c>
      <c r="H127" s="490">
        <f>ROUND(([44]SmtRes!AE53+[44]SmtRes!AF53+[44]SmtRes!AH53)*[44]SmtRes!Y53*[44]Source!I33,2)</f>
        <v>44.83</v>
      </c>
      <c r="I127" s="490" t="str">
        <f>[44]Source!BO33</f>
        <v>м08-02-148-4</v>
      </c>
      <c r="J127" s="490">
        <f>IF([44]SmtRes!H53=1,[44]Source!BA33,IF([44]SmtRes!H53=2,[44]Source!BB33,[44]Source!BC33))</f>
        <v>1</v>
      </c>
      <c r="K127" s="490">
        <f>ROUND(([44]SmtRes!AA53+[44]SmtRes!AB53+[44]SmtRes!AD53)*[44]SmtRes!Y53*[44]Source!I33,2)</f>
        <v>257.25</v>
      </c>
      <c r="L127" s="490"/>
    </row>
    <row r="128" spans="1:12" ht="28.5" x14ac:dyDescent="0.25">
      <c r="A128" s="490"/>
      <c r="B128" s="490" t="str">
        <f>[44]SmtRes!I54</f>
        <v>030404</v>
      </c>
      <c r="C128" s="490" t="str">
        <f>[44]SmtRes!K54</f>
        <v>Лебедки электрические тяговым усилием до 31,39 кН (3,2 т)</v>
      </c>
      <c r="D128" s="490" t="str">
        <f>[44]SmtRes!O54</f>
        <v>маш.-ч</v>
      </c>
      <c r="E128" s="490">
        <f>[44]SmtRes!Y54*[44]Source!I33</f>
        <v>18.915199999999999</v>
      </c>
      <c r="F128" s="490">
        <f>[44]SmtRes!AU54</f>
        <v>0</v>
      </c>
      <c r="G128" s="490">
        <f>ROUND(([44]SmtRes!AE54+[44]SmtRes!AF54+[44]SmtRes!AH54),2)</f>
        <v>6.9</v>
      </c>
      <c r="H128" s="490">
        <f>ROUND(([44]SmtRes!AE54+[44]SmtRes!AF54+[44]SmtRes!AH54)*[44]SmtRes!Y54*[44]Source!I33,2)</f>
        <v>130.51</v>
      </c>
      <c r="I128" s="490" t="str">
        <f>[44]Source!BO33</f>
        <v>м08-02-148-4</v>
      </c>
      <c r="J128" s="490">
        <f>IF([44]SmtRes!H54=1,[44]Source!BA33,IF([44]SmtRes!H54=2,[44]Source!BB33,[44]Source!BC33))</f>
        <v>1</v>
      </c>
      <c r="K128" s="490">
        <f>ROUND(([44]SmtRes!AA54+[44]SmtRes!AB54+[44]SmtRes!AD54)*[44]SmtRes!Y54*[44]Source!I33,2)</f>
        <v>446.4</v>
      </c>
      <c r="L128" s="490"/>
    </row>
    <row r="129" spans="1:12" x14ac:dyDescent="0.25">
      <c r="A129" s="490"/>
      <c r="B129" s="490" t="str">
        <f>[44]SmtRes!I55</f>
        <v>400001</v>
      </c>
      <c r="C129" s="490" t="str">
        <f>[44]SmtRes!K55</f>
        <v>Автомобили бортовые, грузоподъемность до 5 т</v>
      </c>
      <c r="D129" s="490" t="str">
        <f>[44]SmtRes!O55</f>
        <v>маш.-ч</v>
      </c>
      <c r="E129" s="490">
        <f>[44]SmtRes!Y55*[44]Source!I33</f>
        <v>0.7360000000000001</v>
      </c>
      <c r="F129" s="490">
        <f>[44]SmtRes!AU55</f>
        <v>0</v>
      </c>
      <c r="G129" s="490">
        <f>ROUND(([44]SmtRes!AE55+[44]SmtRes!AF55+[44]SmtRes!AH55),2)</f>
        <v>91.62</v>
      </c>
      <c r="H129" s="490">
        <f>ROUND(([44]SmtRes!AE55+[44]SmtRes!AF55+[44]SmtRes!AH55)*[44]SmtRes!Y55*[44]Source!I33,2)</f>
        <v>67.430000000000007</v>
      </c>
      <c r="I129" s="490" t="str">
        <f>[44]Source!BO33</f>
        <v>м08-02-148-4</v>
      </c>
      <c r="J129" s="490">
        <f>IF([44]SmtRes!H55=1,[44]Source!BA33,IF([44]SmtRes!H55=2,[44]Source!BB33,[44]Source!BC33))</f>
        <v>1</v>
      </c>
      <c r="K129" s="490">
        <f>ROUND(([44]SmtRes!AA55+[44]SmtRes!AB55+[44]SmtRes!AD55)*[44]SmtRes!Y55*[44]Source!I33,2)</f>
        <v>543.51</v>
      </c>
      <c r="L129" s="490"/>
    </row>
    <row r="130" spans="1:12" x14ac:dyDescent="0.25">
      <c r="A130" s="490"/>
      <c r="B130" s="490" t="str">
        <f>[44]SmtRes!I56</f>
        <v>101-2478</v>
      </c>
      <c r="C130" s="490" t="str">
        <f>[44]SmtRes!K56</f>
        <v>Лента К226</v>
      </c>
      <c r="D130" s="490" t="str">
        <f>[44]SmtRes!O56</f>
        <v>100 м</v>
      </c>
      <c r="E130" s="490">
        <f>[44]SmtRes!Y56*[44]Source!I33</f>
        <v>3.5327999999999998E-2</v>
      </c>
      <c r="F130" s="490">
        <f>[44]SmtRes!AU56</f>
        <v>0</v>
      </c>
      <c r="G130" s="490">
        <f>ROUND(([44]SmtRes!AE56+[44]SmtRes!AF56+[44]SmtRes!AH56),2)</f>
        <v>120</v>
      </c>
      <c r="H130" s="490">
        <f>ROUND(([44]SmtRes!AE56+[44]SmtRes!AF56+[44]SmtRes!AH56)*[44]SmtRes!Y56*[44]Source!I33,2)</f>
        <v>4.24</v>
      </c>
      <c r="I130" s="490" t="str">
        <f>[44]Source!BO33</f>
        <v>м08-02-148-4</v>
      </c>
      <c r="J130" s="490">
        <f>IF([44]SmtRes!H56=1,[44]Source!BA33,IF([44]SmtRes!H56=2,[44]Source!BB33,[44]Source!BC33))</f>
        <v>1</v>
      </c>
      <c r="K130" s="490">
        <f>ROUND(([44]SmtRes!AE56+[44]SmtRes!AF56+[44]SmtRes!AH56)*[44]SmtRes!Y56*[44]Source!I33*J130,2)</f>
        <v>4.24</v>
      </c>
      <c r="L130" s="490"/>
    </row>
    <row r="131" spans="1:12" x14ac:dyDescent="0.25">
      <c r="A131" s="490"/>
      <c r="B131" s="490" t="str">
        <f>[44]SmtRes!I57</f>
        <v>113-1786</v>
      </c>
      <c r="C131" s="490" t="str">
        <f>[44]SmtRes!K57</f>
        <v>Лак битумный БТ-123</v>
      </c>
      <c r="D131" s="490" t="str">
        <f>[44]SmtRes!O57</f>
        <v>т</v>
      </c>
      <c r="E131" s="490">
        <f>[44]SmtRes!Y57*[44]Source!I33</f>
        <v>2.2080000000000003E-4</v>
      </c>
      <c r="F131" s="490">
        <f>[44]SmtRes!AU57</f>
        <v>0</v>
      </c>
      <c r="G131" s="490">
        <f>ROUND(([44]SmtRes!AE57+[44]SmtRes!AF57+[44]SmtRes!AH57),2)</f>
        <v>8461.6299999999992</v>
      </c>
      <c r="H131" s="490">
        <f>ROUND(([44]SmtRes!AE57+[44]SmtRes!AF57+[44]SmtRes!AH57)*[44]SmtRes!Y57*[44]Source!I33,2)</f>
        <v>1.87</v>
      </c>
      <c r="I131" s="490" t="str">
        <f>[44]Source!BO33</f>
        <v>м08-02-148-4</v>
      </c>
      <c r="J131" s="490">
        <f>IF([44]SmtRes!H57=1,[44]Source!BA33,IF([44]SmtRes!H57=2,[44]Source!BB33,[44]Source!BC33))</f>
        <v>1</v>
      </c>
      <c r="K131" s="490">
        <f>ROUND(([44]SmtRes!AE57+[44]SmtRes!AF57+[44]SmtRes!AH57)*[44]SmtRes!Y57*[44]Source!I33*J131,2)</f>
        <v>1.87</v>
      </c>
      <c r="L131" s="490"/>
    </row>
    <row r="132" spans="1:12" ht="28.5" x14ac:dyDescent="0.25">
      <c r="A132" s="490"/>
      <c r="B132" s="490" t="str">
        <f>[44]SmtRes!I58</f>
        <v>506-1362</v>
      </c>
      <c r="C132" s="490" t="str">
        <f>[44]SmtRes!K58</f>
        <v>Припои оловянно-свинцовые бессурьмянистые марки ПОС30</v>
      </c>
      <c r="D132" s="490" t="str">
        <f>[44]SmtRes!O58</f>
        <v>кг</v>
      </c>
      <c r="E132" s="490">
        <f>[44]SmtRes!Y58*[44]Source!I33</f>
        <v>1.84</v>
      </c>
      <c r="F132" s="490">
        <f>[44]SmtRes!AU58</f>
        <v>0</v>
      </c>
      <c r="G132" s="490">
        <f>ROUND(([44]SmtRes!AE58+[44]SmtRes!AF58+[44]SmtRes!AH58),2)</f>
        <v>66.84</v>
      </c>
      <c r="H132" s="490">
        <f>ROUND(([44]SmtRes!AE58+[44]SmtRes!AF58+[44]SmtRes!AH58)*[44]SmtRes!Y58*[44]Source!I33,2)</f>
        <v>122.99</v>
      </c>
      <c r="I132" s="490" t="str">
        <f>[44]Source!BO33</f>
        <v>м08-02-148-4</v>
      </c>
      <c r="J132" s="490">
        <f>IF([44]SmtRes!H58=1,[44]Source!BA33,IF([44]SmtRes!H58=2,[44]Source!BB33,[44]Source!BC33))</f>
        <v>1</v>
      </c>
      <c r="K132" s="490">
        <f>ROUND(([44]SmtRes!AE58+[44]SmtRes!AF58+[44]SmtRes!AH58)*[44]SmtRes!Y58*[44]Source!I33*J132,2)</f>
        <v>122.99</v>
      </c>
      <c r="L132" s="490"/>
    </row>
    <row r="133" spans="1:12" ht="28.5" x14ac:dyDescent="0.25">
      <c r="A133" s="490"/>
      <c r="B133" s="490" t="str">
        <f>[44]SmtRes!I59</f>
        <v>999-9950</v>
      </c>
      <c r="C133" s="490" t="str">
        <f>[44]SmtRes!K59</f>
        <v>Вспомогательные ненормируемые материалы (2% от ОЗП)</v>
      </c>
      <c r="D133" s="491" t="str">
        <f>[44]SmtRes!O59</f>
        <v>руб.</v>
      </c>
      <c r="E133" s="491">
        <f>[44]SmtRes!Y59*[44]Source!I33</f>
        <v>16.302399999999999</v>
      </c>
      <c r="F133" s="491">
        <f>[44]SmtRes!AU59</f>
        <v>0</v>
      </c>
      <c r="G133" s="491">
        <f>ROUND(([44]SmtRes!AE59+[44]SmtRes!AF59+[44]SmtRes!AH59),2)</f>
        <v>1</v>
      </c>
      <c r="H133" s="491">
        <f>ROUND(([44]SmtRes!AE59+[44]SmtRes!AF59+[44]SmtRes!AH59)*[44]SmtRes!Y59*[44]Source!I33,2)</f>
        <v>16.3</v>
      </c>
      <c r="I133" s="491" t="str">
        <f>[44]Source!BO33</f>
        <v>м08-02-148-4</v>
      </c>
      <c r="J133" s="491">
        <f>IF([44]SmtRes!H59=1,[44]Source!BA33,IF([44]SmtRes!H59=2,[44]Source!BB33,[44]Source!BC33))</f>
        <v>1</v>
      </c>
      <c r="K133" s="491">
        <f>ROUND(([44]SmtRes!AE59+[44]SmtRes!AF59+[44]SmtRes!AH59)*[44]SmtRes!Y59*[44]Source!I33*J133,2)</f>
        <v>16.3</v>
      </c>
      <c r="L133" s="491"/>
    </row>
    <row r="134" spans="1:12" s="481" customFormat="1" ht="28.5" x14ac:dyDescent="0.25">
      <c r="A134" s="492" t="str">
        <f>[44]Source!E34</f>
        <v>7</v>
      </c>
      <c r="B134" s="493" t="str">
        <f>CONCATENATE([44]Source!F34,"                       ", [44]Source!EO34)</f>
        <v xml:space="preserve">33-04-015-1                       </v>
      </c>
      <c r="C134" s="494" t="str">
        <f>[44]Source!G34</f>
        <v>Устройство заземления опор ВЛ и подстанций</v>
      </c>
      <c r="D134" s="495" t="str">
        <f>[44]Source!H34</f>
        <v>10 м</v>
      </c>
      <c r="E134" s="496">
        <v>7.3</v>
      </c>
      <c r="F134" s="496"/>
      <c r="G134" s="496">
        <f>ROUND([44]Source!AB34+[44]Source!HA34,3)</f>
        <v>31.62</v>
      </c>
      <c r="H134" s="496">
        <f>ROUND(([44]Source!AB34+[44]Source!HA34)*[44]Source!I34,3)</f>
        <v>230.82599999999999</v>
      </c>
      <c r="I134" s="496"/>
      <c r="J134" s="496"/>
      <c r="K134" s="496">
        <f>ROUND([44]Source!O34,2)</f>
        <v>230.83</v>
      </c>
      <c r="L134" s="496"/>
    </row>
    <row r="135" spans="1:12" x14ac:dyDescent="0.25">
      <c r="A135" s="482"/>
      <c r="B135" s="482"/>
      <c r="C135" s="474" t="s">
        <v>331</v>
      </c>
      <c r="D135" s="483"/>
      <c r="E135" s="483"/>
      <c r="F135" s="484" t="str">
        <f>IF([44]Source!DG34="","-",[44]Source!DG34)</f>
        <v>-</v>
      </c>
      <c r="G135" s="483">
        <f>ROUND([44]Source!AF34,3)</f>
        <v>14.69</v>
      </c>
      <c r="H135" s="483">
        <f>ROUND([44]Source!AF34*[44]Source!I34,3)</f>
        <v>107.23699999999999</v>
      </c>
      <c r="I135" s="485" t="str">
        <f>[44]Source!BO34</f>
        <v>33-04-015-1</v>
      </c>
      <c r="J135" s="483">
        <f>[44]Source!BA34</f>
        <v>1</v>
      </c>
      <c r="K135" s="483">
        <f>ROUND([44]Source!S34,2)</f>
        <v>107.24</v>
      </c>
      <c r="L135" s="483"/>
    </row>
    <row r="136" spans="1:12" x14ac:dyDescent="0.25">
      <c r="A136" s="482"/>
      <c r="B136" s="482"/>
      <c r="C136" s="474" t="s">
        <v>332</v>
      </c>
      <c r="D136" s="483"/>
      <c r="E136" s="483"/>
      <c r="F136" s="484" t="str">
        <f>IF([44]Source!DE34="","-",[44]Source!DE34)</f>
        <v>-</v>
      </c>
      <c r="G136" s="483">
        <f>ROUND([44]Source!AD34,3)</f>
        <v>15.72</v>
      </c>
      <c r="H136" s="483">
        <f>ROUND([44]Source!AD34*[44]Source!I34,3)</f>
        <v>114.756</v>
      </c>
      <c r="I136" s="485"/>
      <c r="J136" s="483">
        <f>[44]Source!BB34</f>
        <v>1</v>
      </c>
      <c r="K136" s="483">
        <f>ROUND([44]Source!Q34,2)</f>
        <v>114.76</v>
      </c>
      <c r="L136" s="483"/>
    </row>
    <row r="137" spans="1:12" x14ac:dyDescent="0.25">
      <c r="A137" s="482"/>
      <c r="B137" s="482"/>
      <c r="C137" s="474" t="s">
        <v>337</v>
      </c>
      <c r="D137" s="483"/>
      <c r="E137" s="483"/>
      <c r="F137" s="484" t="str">
        <f>IF([44]Source!DF34="","-",[44]Source!DF34)</f>
        <v>-</v>
      </c>
      <c r="G137" s="483">
        <f>ROUND([44]Source!AE34,3)</f>
        <v>0</v>
      </c>
      <c r="H137" s="483">
        <f>ROUND(([44]Source!AC34+[44]Source!HA34)*[44]Source!I34,3)</f>
        <v>8.8330000000000002</v>
      </c>
      <c r="I137" s="485"/>
      <c r="J137" s="483">
        <f>[44]Source!BS34</f>
        <v>1</v>
      </c>
      <c r="K137" s="483">
        <f>ROUND([44]Source!P34,2)</f>
        <v>8.83</v>
      </c>
      <c r="L137" s="483"/>
    </row>
    <row r="138" spans="1:12" x14ac:dyDescent="0.25">
      <c r="A138" s="482"/>
      <c r="B138" s="482"/>
      <c r="C138" s="474" t="s">
        <v>334</v>
      </c>
      <c r="D138" s="483"/>
      <c r="E138" s="483">
        <f>ROUND([44]Source!AH34,2)</f>
        <v>1.8</v>
      </c>
      <c r="F138" s="484" t="str">
        <f>IF([44]Source!DD34="","-",[44]Source!DD34)</f>
        <v>-</v>
      </c>
      <c r="G138" s="483">
        <f>ROUND([44]Source!AC34+[44]Source!HA34,3)</f>
        <v>1.21</v>
      </c>
      <c r="H138" s="483"/>
      <c r="I138" s="485"/>
      <c r="J138" s="483">
        <f>[44]Source!BC34</f>
        <v>1</v>
      </c>
      <c r="K138" s="483"/>
      <c r="L138" s="483">
        <f>ROUND([44]Source!U34,2)</f>
        <v>13.14</v>
      </c>
    </row>
    <row r="139" spans="1:12" x14ac:dyDescent="0.25">
      <c r="A139" s="482"/>
      <c r="B139" s="482"/>
      <c r="C139" s="474" t="s">
        <v>335</v>
      </c>
      <c r="D139" s="483"/>
      <c r="E139" s="486" t="str">
        <f>CONCATENATE([44]Source!BZ34,"%")</f>
        <v>105%</v>
      </c>
      <c r="F139" s="483"/>
      <c r="G139" s="483">
        <f>ROUND(([44]Source!AO34+ [44]Source!AN34)*[44]Source!AT34/100,3)</f>
        <v>15.425000000000001</v>
      </c>
      <c r="H139" s="483">
        <f>ROUND(([44]Source!AE34+ [44]Source!AF34)*[44]Source!AT34/100*[44]Source!I34,2)</f>
        <v>112.6</v>
      </c>
      <c r="I139" s="483"/>
      <c r="J139" s="483" t="str">
        <f>CONCATENATE([44]Source!AT34,"%")</f>
        <v>105%</v>
      </c>
      <c r="K139" s="483">
        <f>ROUND([44]Source!X34,2)</f>
        <v>112.6</v>
      </c>
      <c r="L139" s="483"/>
    </row>
    <row r="140" spans="1:12" x14ac:dyDescent="0.25">
      <c r="A140" s="482"/>
      <c r="B140" s="482"/>
      <c r="C140" s="474" t="s">
        <v>336</v>
      </c>
      <c r="D140" s="487"/>
      <c r="E140" s="488" t="str">
        <f>CONCATENATE([44]Source!CA34,"%")</f>
        <v>60%</v>
      </c>
      <c r="F140" s="487"/>
      <c r="G140" s="487">
        <f>ROUND(([44]Source!AO34+ [44]Source!AN34)*[44]Source!AU34/100,3)</f>
        <v>8.8140000000000001</v>
      </c>
      <c r="H140" s="487">
        <f>ROUND(([44]Source!AE34+ [44]Source!AF34)*[44]Source!AU34/100*[44]Source!I34,2)</f>
        <v>64.34</v>
      </c>
      <c r="I140" s="487"/>
      <c r="J140" s="487" t="str">
        <f>CONCATENATE([44]Source!AU34,"%")</f>
        <v>60%</v>
      </c>
      <c r="K140" s="487">
        <f>ROUND([44]Source!Y34,2)</f>
        <v>64.34</v>
      </c>
      <c r="L140" s="487"/>
    </row>
    <row r="141" spans="1:12" x14ac:dyDescent="0.25">
      <c r="A141" s="482"/>
      <c r="B141" s="482"/>
      <c r="C141" s="474"/>
      <c r="D141" s="489"/>
      <c r="E141" s="489"/>
      <c r="F141" s="489"/>
      <c r="G141" s="489">
        <f>ROUND(([44]Source!AO34+ [44]Source!AN34)/100*([44]Source!AT34+[44]Source!AU34)+[44]Source!AK34,2)</f>
        <v>55.86</v>
      </c>
      <c r="H141" s="489">
        <f>ROUND([44]Source!DY34,2)</f>
        <v>407.77</v>
      </c>
      <c r="I141" s="489"/>
      <c r="J141" s="489"/>
      <c r="K141" s="489">
        <f>ROUND([44]Source!O34+[44]Source!HB34+[44]Source!X34+[44]Source!Y34,2)</f>
        <v>407.77</v>
      </c>
      <c r="L141" s="489">
        <f>ROUND([44]Source!U34,2)</f>
        <v>13.14</v>
      </c>
    </row>
    <row r="142" spans="1:12" x14ac:dyDescent="0.25">
      <c r="A142" s="490"/>
      <c r="B142" s="490" t="str">
        <f>[44]SmtRes!I60</f>
        <v>1-1029-69</v>
      </c>
      <c r="C142" s="490" t="str">
        <f>[44]SmtRes!K60</f>
        <v>Рабочий строитель среднего разряда 2,9</v>
      </c>
      <c r="D142" s="490" t="str">
        <f>[44]SmtRes!O60</f>
        <v>чел.-ч</v>
      </c>
      <c r="E142" s="490">
        <f>[44]SmtRes!Y60*[44]Source!I34</f>
        <v>13.14</v>
      </c>
      <c r="F142" s="490">
        <f>[44]SmtRes!AU60</f>
        <v>0</v>
      </c>
      <c r="G142" s="490">
        <f>ROUND(([44]SmtRes!AE60+[44]SmtRes!AF60+[44]SmtRes!AH60),2)</f>
        <v>8.16</v>
      </c>
      <c r="H142" s="490">
        <f>ROUND(([44]SmtRes!AE60+[44]SmtRes!AF60+[44]SmtRes!AH60)*[44]SmtRes!Y60*[44]Source!I34,2)</f>
        <v>107.22</v>
      </c>
      <c r="I142" s="490" t="str">
        <f>[44]Source!BO34</f>
        <v>33-04-015-1</v>
      </c>
      <c r="J142" s="490">
        <f>IF([44]SmtRes!H60=1,[44]Source!BA34,IF([44]SmtRes!H60=2,[44]Source!BB34,[44]Source!BC34))</f>
        <v>1</v>
      </c>
      <c r="K142" s="490">
        <f>ROUND(([44]SmtRes!AA60+[44]SmtRes!AB60+[44]SmtRes!AD60)*[44]SmtRes!Y60*[44]Source!I34*J142,2)</f>
        <v>107.22</v>
      </c>
      <c r="L142" s="490"/>
    </row>
    <row r="143" spans="1:12" ht="42.75" x14ac:dyDescent="0.25">
      <c r="A143" s="490"/>
      <c r="B143" s="490" t="str">
        <f>[44]SmtRes!I61</f>
        <v>040202</v>
      </c>
      <c r="C143" s="490" t="str">
        <f>[44]SmtRes!K61</f>
        <v>Агрегаты сварочные передвижные с номинальным сварочным током 250-400 А: с дизельным двигателем</v>
      </c>
      <c r="D143" s="490" t="str">
        <f>[44]SmtRes!O61</f>
        <v>маш.-ч</v>
      </c>
      <c r="E143" s="490">
        <f>[44]SmtRes!Y61*[44]Source!I34</f>
        <v>3.65</v>
      </c>
      <c r="F143" s="490">
        <f>[44]SmtRes!AU61</f>
        <v>0</v>
      </c>
      <c r="G143" s="490">
        <f>ROUND(([44]SmtRes!AE61+[44]SmtRes!AF61+[44]SmtRes!AH61),2)</f>
        <v>13.11</v>
      </c>
      <c r="H143" s="490">
        <f>ROUND(([44]SmtRes!AE61+[44]SmtRes!AF61+[44]SmtRes!AH61)*[44]SmtRes!Y61*[44]Source!I34,2)</f>
        <v>47.85</v>
      </c>
      <c r="I143" s="490" t="str">
        <f>[44]Source!BO34</f>
        <v>33-04-015-1</v>
      </c>
      <c r="J143" s="490">
        <f>IF([44]SmtRes!H61=1,[44]Source!BA34,IF([44]SmtRes!H61=2,[44]Source!BB34,[44]Source!BC34))</f>
        <v>1</v>
      </c>
      <c r="K143" s="490">
        <f>ROUND(([44]SmtRes!AA61+[44]SmtRes!AB61+[44]SmtRes!AD61)*[44]SmtRes!Y61*[44]Source!I34,2)</f>
        <v>301.93</v>
      </c>
      <c r="L143" s="490"/>
    </row>
    <row r="144" spans="1:12" ht="28.5" x14ac:dyDescent="0.25">
      <c r="A144" s="490"/>
      <c r="B144" s="490" t="str">
        <f>[44]SmtRes!I62</f>
        <v>400001</v>
      </c>
      <c r="C144" s="490" t="str">
        <f>[44]SmtRes!K62</f>
        <v>Автомобили бортовые, грузоподъемность: до 5 т</v>
      </c>
      <c r="D144" s="490" t="str">
        <f>[44]SmtRes!O62</f>
        <v>маш.-ч</v>
      </c>
      <c r="E144" s="490">
        <f>[44]SmtRes!Y62*[44]Source!I34</f>
        <v>0.73</v>
      </c>
      <c r="F144" s="490">
        <f>[44]SmtRes!AU62</f>
        <v>0</v>
      </c>
      <c r="G144" s="490">
        <f>ROUND(([44]SmtRes!AE62+[44]SmtRes!AF62+[44]SmtRes!AH62),2)</f>
        <v>91.62</v>
      </c>
      <c r="H144" s="490">
        <f>ROUND(([44]SmtRes!AE62+[44]SmtRes!AF62+[44]SmtRes!AH62)*[44]SmtRes!Y62*[44]Source!I34,2)</f>
        <v>66.88</v>
      </c>
      <c r="I144" s="490" t="str">
        <f>[44]Source!BO34</f>
        <v>33-04-015-1</v>
      </c>
      <c r="J144" s="490">
        <f>IF([44]SmtRes!H62=1,[44]Source!BA34,IF([44]SmtRes!H62=2,[44]Source!BB34,[44]Source!BC34))</f>
        <v>1</v>
      </c>
      <c r="K144" s="490">
        <f>ROUND(([44]SmtRes!AA62+[44]SmtRes!AB62+[44]SmtRes!AD62)*[44]SmtRes!Y62*[44]Source!I34,2)</f>
        <v>539.08000000000004</v>
      </c>
      <c r="L144" s="490"/>
    </row>
    <row r="145" spans="1:12" x14ac:dyDescent="0.25">
      <c r="A145" s="490"/>
      <c r="B145" s="490" t="str">
        <f>[44]SmtRes!I63</f>
        <v>101-1513</v>
      </c>
      <c r="C145" s="490" t="str">
        <f>[44]SmtRes!K63</f>
        <v>Электроды диаметром 4 мм Э42</v>
      </c>
      <c r="D145" s="491" t="str">
        <f>[44]SmtRes!O63</f>
        <v>т</v>
      </c>
      <c r="E145" s="491">
        <f>[44]SmtRes!Y63*[44]Source!I34</f>
        <v>8.7600000000000004E-4</v>
      </c>
      <c r="F145" s="491">
        <f>[44]SmtRes!AU63</f>
        <v>0</v>
      </c>
      <c r="G145" s="491">
        <f>ROUND(([44]SmtRes!AE63+[44]SmtRes!AF63+[44]SmtRes!AH63),2)</f>
        <v>11191.78</v>
      </c>
      <c r="H145" s="491">
        <f>ROUND(([44]SmtRes!AE63+[44]SmtRes!AF63+[44]SmtRes!AH63)*[44]SmtRes!Y63*[44]Source!I34,2)</f>
        <v>9.8000000000000007</v>
      </c>
      <c r="I145" s="491" t="str">
        <f>[44]Source!BO34</f>
        <v>33-04-015-1</v>
      </c>
      <c r="J145" s="491">
        <f>IF([44]SmtRes!H63=1,[44]Source!BA34,IF([44]SmtRes!H63=2,[44]Source!BB34,[44]Source!BC34))</f>
        <v>1</v>
      </c>
      <c r="K145" s="491">
        <f>ROUND(([44]SmtRes!AE63+[44]SmtRes!AF63+[44]SmtRes!AH63)*[44]SmtRes!Y63*[44]Source!I34*J145,2)</f>
        <v>9.8000000000000007</v>
      </c>
      <c r="L145" s="491"/>
    </row>
    <row r="146" spans="1:12" s="481" customFormat="1" ht="42.75" x14ac:dyDescent="0.25">
      <c r="A146" s="492" t="str">
        <f>[44]Source!E35</f>
        <v>8</v>
      </c>
      <c r="B146" s="493" t="str">
        <f>CONCATENATE([44]Source!F35,"                       ", [44]Source!EO35)</f>
        <v xml:space="preserve">м08-02-472-7                       </v>
      </c>
      <c r="C146" s="494" t="str">
        <f>[44]Source!G35</f>
        <v>Проводник заземляющий открыто по строительным основаниям: из полосовой стали сечением 250 мм2 (прим.)</v>
      </c>
      <c r="D146" s="495" t="str">
        <f>[44]Source!H35</f>
        <v>100 м</v>
      </c>
      <c r="E146" s="496">
        <v>1.32E-2</v>
      </c>
      <c r="F146" s="496"/>
      <c r="G146" s="496">
        <f>ROUND([44]Source!AB35+[44]Source!HA35,3)</f>
        <v>1401.29</v>
      </c>
      <c r="H146" s="496">
        <f>ROUND(([44]Source!AB35+[44]Source!HA35)*[44]Source!I35,3)</f>
        <v>18.497</v>
      </c>
      <c r="I146" s="496"/>
      <c r="J146" s="496"/>
      <c r="K146" s="496">
        <f>ROUND([44]Source!O35,2)</f>
        <v>18.489999999999998</v>
      </c>
      <c r="L146" s="496"/>
    </row>
    <row r="147" spans="1:12" x14ac:dyDescent="0.25">
      <c r="A147" s="482"/>
      <c r="B147" s="482"/>
      <c r="C147" s="474" t="s">
        <v>331</v>
      </c>
      <c r="D147" s="483"/>
      <c r="E147" s="483"/>
      <c r="F147" s="484" t="str">
        <f>IF([44]Source!DG35="","-",[44]Source!DG35)</f>
        <v>-</v>
      </c>
      <c r="G147" s="483">
        <f>ROUND([44]Source!AF35,3)</f>
        <v>193.4</v>
      </c>
      <c r="H147" s="483">
        <f>ROUND([44]Source!AF35*[44]Source!I35,3)</f>
        <v>2.5529999999999999</v>
      </c>
      <c r="I147" s="485" t="str">
        <f>[44]Source!BO35</f>
        <v>м08-02-472-7</v>
      </c>
      <c r="J147" s="483">
        <f>[44]Source!BA35</f>
        <v>1</v>
      </c>
      <c r="K147" s="483">
        <f>ROUND([44]Source!S35,2)</f>
        <v>2.5499999999999998</v>
      </c>
      <c r="L147" s="483"/>
    </row>
    <row r="148" spans="1:12" x14ac:dyDescent="0.25">
      <c r="A148" s="482"/>
      <c r="B148" s="482"/>
      <c r="C148" s="474" t="s">
        <v>332</v>
      </c>
      <c r="D148" s="483"/>
      <c r="E148" s="483"/>
      <c r="F148" s="484" t="str">
        <f>IF([44]Source!DE35="","-",[44]Source!DE35)</f>
        <v>-</v>
      </c>
      <c r="G148" s="483">
        <f>ROUND([44]Source!AD35,3)</f>
        <v>87.29</v>
      </c>
      <c r="H148" s="483">
        <f>ROUND([44]Source!AD35*[44]Source!I35,3)</f>
        <v>1.1519999999999999</v>
      </c>
      <c r="I148" s="485"/>
      <c r="J148" s="483">
        <f>[44]Source!BB35</f>
        <v>1</v>
      </c>
      <c r="K148" s="483">
        <f>ROUND([44]Source!Q35,2)</f>
        <v>1.1499999999999999</v>
      </c>
      <c r="L148" s="483"/>
    </row>
    <row r="149" spans="1:12" x14ac:dyDescent="0.25">
      <c r="A149" s="482"/>
      <c r="B149" s="482"/>
      <c r="C149" s="474" t="s">
        <v>333</v>
      </c>
      <c r="D149" s="483"/>
      <c r="E149" s="483"/>
      <c r="F149" s="484" t="str">
        <f>IF([44]Source!DF35="","-",[44]Source!DF35)</f>
        <v>-</v>
      </c>
      <c r="G149" s="483">
        <f>ROUND([44]Source!AE35,3)</f>
        <v>3.26</v>
      </c>
      <c r="H149" s="483">
        <f>ROUND([44]Source!AE35*[44]Source!I35,3)</f>
        <v>4.2999999999999997E-2</v>
      </c>
      <c r="I149" s="485"/>
      <c r="J149" s="483">
        <f>[44]Source!BS35</f>
        <v>1</v>
      </c>
      <c r="K149" s="483">
        <f>ROUND([44]Source!R35,2)</f>
        <v>0.04</v>
      </c>
      <c r="L149" s="483"/>
    </row>
    <row r="150" spans="1:12" x14ac:dyDescent="0.25">
      <c r="A150" s="482"/>
      <c r="B150" s="482"/>
      <c r="C150" s="474" t="s">
        <v>337</v>
      </c>
      <c r="D150" s="483"/>
      <c r="E150" s="483"/>
      <c r="F150" s="484" t="str">
        <f>IF([44]Source!DD35="","-",[44]Source!DD35)</f>
        <v>-</v>
      </c>
      <c r="G150" s="483">
        <f>ROUND([44]Source!AC35+[44]Source!HA35,3)</f>
        <v>1120.5999999999999</v>
      </c>
      <c r="H150" s="483">
        <f>ROUND(([44]Source!AC35+[44]Source!HA35)*[44]Source!I35,3)</f>
        <v>14.792</v>
      </c>
      <c r="I150" s="485"/>
      <c r="J150" s="483">
        <f>[44]Source!BC35</f>
        <v>1</v>
      </c>
      <c r="K150" s="483">
        <f>ROUND([44]Source!P35,2)</f>
        <v>14.79</v>
      </c>
      <c r="L150" s="483"/>
    </row>
    <row r="151" spans="1:12" x14ac:dyDescent="0.25">
      <c r="A151" s="482"/>
      <c r="B151" s="482"/>
      <c r="C151" s="474" t="s">
        <v>334</v>
      </c>
      <c r="D151" s="483"/>
      <c r="E151" s="483">
        <f>ROUND([44]Source!AH35,2)</f>
        <v>21.3</v>
      </c>
      <c r="F151" s="483"/>
      <c r="G151" s="483"/>
      <c r="H151" s="483"/>
      <c r="I151" s="483"/>
      <c r="J151" s="483"/>
      <c r="K151" s="483"/>
      <c r="L151" s="483">
        <f>ROUND([44]Source!U35,2)</f>
        <v>0.28000000000000003</v>
      </c>
    </row>
    <row r="152" spans="1:12" x14ac:dyDescent="0.25">
      <c r="A152" s="482"/>
      <c r="B152" s="482"/>
      <c r="C152" s="474" t="s">
        <v>335</v>
      </c>
      <c r="D152" s="483"/>
      <c r="E152" s="486" t="str">
        <f>CONCATENATE([44]Source!BZ35,"%")</f>
        <v>95%</v>
      </c>
      <c r="F152" s="483"/>
      <c r="G152" s="483">
        <f>ROUND(([44]Source!AO35+ [44]Source!AN35)*[44]Source!AT35/100,3)</f>
        <v>186.827</v>
      </c>
      <c r="H152" s="483">
        <f>ROUND(([44]Source!AE35+ [44]Source!AF35)*[44]Source!AT35/100*[44]Source!I35,2)</f>
        <v>2.4700000000000002</v>
      </c>
      <c r="I152" s="483"/>
      <c r="J152" s="483" t="str">
        <f>CONCATENATE([44]Source!AT35,"%")</f>
        <v>95%</v>
      </c>
      <c r="K152" s="483">
        <f>ROUND([44]Source!X35,2)</f>
        <v>2.46</v>
      </c>
      <c r="L152" s="483"/>
    </row>
    <row r="153" spans="1:12" x14ac:dyDescent="0.25">
      <c r="A153" s="482"/>
      <c r="B153" s="482"/>
      <c r="C153" s="474" t="s">
        <v>336</v>
      </c>
      <c r="D153" s="487"/>
      <c r="E153" s="488" t="str">
        <f>CONCATENATE([44]Source!CA35,"%")</f>
        <v>65%</v>
      </c>
      <c r="F153" s="487"/>
      <c r="G153" s="487">
        <f>ROUND(([44]Source!AO35+ [44]Source!AN35)*[44]Source!AU35/100,3)</f>
        <v>127.82899999999999</v>
      </c>
      <c r="H153" s="487">
        <f>ROUND(([44]Source!AE35+ [44]Source!AF35)*[44]Source!AU35/100*[44]Source!I35,2)</f>
        <v>1.69</v>
      </c>
      <c r="I153" s="487"/>
      <c r="J153" s="487" t="str">
        <f>CONCATENATE([44]Source!AU35,"%")</f>
        <v>65%</v>
      </c>
      <c r="K153" s="487">
        <f>ROUND([44]Source!Y35,2)</f>
        <v>1.68</v>
      </c>
      <c r="L153" s="487"/>
    </row>
    <row r="154" spans="1:12" x14ac:dyDescent="0.25">
      <c r="A154" s="482"/>
      <c r="B154" s="482"/>
      <c r="C154" s="474"/>
      <c r="D154" s="489"/>
      <c r="E154" s="489"/>
      <c r="F154" s="489"/>
      <c r="G154" s="489">
        <f>ROUND(([44]Source!AO35+ [44]Source!AN35)/100*([44]Source!AT35+[44]Source!AU35)+[44]Source!AK35,2)</f>
        <v>1715.95</v>
      </c>
      <c r="H154" s="489">
        <f>ROUND([44]Source!DY35,2)</f>
        <v>22.65</v>
      </c>
      <c r="I154" s="489"/>
      <c r="J154" s="489"/>
      <c r="K154" s="489">
        <f>ROUND([44]Source!O35+[44]Source!HB35+[44]Source!X35+[44]Source!Y35,2)</f>
        <v>22.63</v>
      </c>
      <c r="L154" s="489">
        <f>ROUND([44]Source!U35,2)</f>
        <v>0.28000000000000003</v>
      </c>
    </row>
    <row r="155" spans="1:12" x14ac:dyDescent="0.25">
      <c r="A155" s="490"/>
      <c r="B155" s="490" t="str">
        <f>[44]SmtRes!I65</f>
        <v>1-2038-69</v>
      </c>
      <c r="C155" s="490" t="str">
        <f>[44]SmtRes!K65</f>
        <v>Рабочий монтажник среднего разряда 3,8</v>
      </c>
      <c r="D155" s="490" t="str">
        <f>[44]SmtRes!O65</f>
        <v>чел.-ч</v>
      </c>
      <c r="E155" s="490">
        <f>[44]SmtRes!Y65*[44]Source!I35</f>
        <v>0.28116000000000002</v>
      </c>
      <c r="F155" s="490">
        <f>[44]SmtRes!AU65</f>
        <v>0</v>
      </c>
      <c r="G155" s="490">
        <f>ROUND(([44]SmtRes!AE65+[44]SmtRes!AF65+[44]SmtRes!AH65),2)</f>
        <v>9.08</v>
      </c>
      <c r="H155" s="490">
        <f>ROUND(([44]SmtRes!AE65+[44]SmtRes!AF65+[44]SmtRes!AH65)*[44]SmtRes!Y65*[44]Source!I35,2)</f>
        <v>2.5499999999999998</v>
      </c>
      <c r="I155" s="490" t="str">
        <f>[44]Source!BO35</f>
        <v>м08-02-472-7</v>
      </c>
      <c r="J155" s="490">
        <f>IF([44]SmtRes!H65=1,[44]Source!BA35,IF([44]SmtRes!H65=2,[44]Source!BB35,[44]Source!BC35))</f>
        <v>1</v>
      </c>
      <c r="K155" s="490">
        <f>ROUND(([44]SmtRes!AA65+[44]SmtRes!AB65+[44]SmtRes!AD65)*[44]SmtRes!Y65*[44]Source!I35*J155,2)</f>
        <v>2.5499999999999998</v>
      </c>
      <c r="L155" s="490"/>
    </row>
    <row r="156" spans="1:12" x14ac:dyDescent="0.25">
      <c r="A156" s="490"/>
      <c r="B156" s="490" t="str">
        <f>[44]SmtRes!I66</f>
        <v>2</v>
      </c>
      <c r="C156" s="490" t="str">
        <f>[44]SmtRes!K66</f>
        <v>Затраты труда машинистов</v>
      </c>
      <c r="D156" s="490" t="str">
        <f>[44]SmtRes!O66</f>
        <v>чел.-ч</v>
      </c>
      <c r="E156" s="490">
        <f>[44]SmtRes!Y66*[44]Source!I35</f>
        <v>3.3E-3</v>
      </c>
      <c r="F156" s="490">
        <f>[44]SmtRes!AU66</f>
        <v>0</v>
      </c>
      <c r="G156" s="490">
        <f>ROUND(([44]SmtRes!AE66+[44]SmtRes!AF66+[44]SmtRes!AH66),2)</f>
        <v>0</v>
      </c>
      <c r="H156" s="490">
        <f>ROUND(([44]SmtRes!AE66+[44]SmtRes!AF66+[44]SmtRes!AH66)*[44]SmtRes!Y66*[44]Source!I35,2)</f>
        <v>0</v>
      </c>
      <c r="I156" s="490" t="str">
        <f>[44]Source!BO35</f>
        <v>м08-02-472-7</v>
      </c>
      <c r="J156" s="490">
        <f>IF([44]SmtRes!H66=1,[44]Source!BA35,IF([44]SmtRes!H66=2,[44]Source!BB35,[44]Source!BC35))</f>
        <v>1</v>
      </c>
      <c r="K156" s="490">
        <f>ROUND(([44]SmtRes!AA66+[44]SmtRes!AB66+[44]SmtRes!AD66)*[44]SmtRes!Y66*[44]Source!I35*J156,2)</f>
        <v>0</v>
      </c>
      <c r="L156" s="490"/>
    </row>
    <row r="157" spans="1:12" ht="28.5" x14ac:dyDescent="0.25">
      <c r="A157" s="490"/>
      <c r="B157" s="490" t="str">
        <f>[44]SmtRes!I67</f>
        <v>021102</v>
      </c>
      <c r="C157" s="490" t="str">
        <f>[44]SmtRes!K67</f>
        <v>Краны на автомобильном ходу при работе на монтаже технологического оборудования: 10т</v>
      </c>
      <c r="D157" s="490" t="str">
        <f>[44]SmtRes!O67</f>
        <v>маш.-ч</v>
      </c>
      <c r="E157" s="490">
        <f>[44]SmtRes!Y67*[44]Source!I35</f>
        <v>3.3E-3</v>
      </c>
      <c r="F157" s="490">
        <f>[44]SmtRes!AU67</f>
        <v>0</v>
      </c>
      <c r="G157" s="490">
        <f>ROUND(([44]SmtRes!AE67+[44]SmtRes!AF67+[44]SmtRes!AH67),2)</f>
        <v>131.11000000000001</v>
      </c>
      <c r="H157" s="490">
        <f>ROUND(([44]SmtRes!AE67+[44]SmtRes!AF67+[44]SmtRes!AH67)*[44]SmtRes!Y67*[44]Source!I35,2)</f>
        <v>0.43</v>
      </c>
      <c r="I157" s="490" t="str">
        <f>[44]Source!BO35</f>
        <v>м08-02-472-7</v>
      </c>
      <c r="J157" s="490">
        <f>IF([44]SmtRes!H67=1,[44]Source!BA35,IF([44]SmtRes!H67=2,[44]Source!BB35,[44]Source!BC35))</f>
        <v>1</v>
      </c>
      <c r="K157" s="490">
        <f>ROUND(([44]SmtRes!AA67+[44]SmtRes!AB67+[44]SmtRes!AD67)*[44]SmtRes!Y67*[44]Source!I35,2)</f>
        <v>2.3199999999999998</v>
      </c>
      <c r="L157" s="490"/>
    </row>
    <row r="158" spans="1:12" ht="28.5" x14ac:dyDescent="0.25">
      <c r="A158" s="490"/>
      <c r="B158" s="490" t="str">
        <f>[44]SmtRes!I68</f>
        <v>040502</v>
      </c>
      <c r="C158" s="490" t="str">
        <f>[44]SmtRes!K68</f>
        <v>Установки для сварки: ручной дуговой (постоянного тока)</v>
      </c>
      <c r="D158" s="490" t="str">
        <f>[44]SmtRes!O68</f>
        <v>маш.-ч</v>
      </c>
      <c r="E158" s="490">
        <f>[44]SmtRes!Y68*[44]Source!I35</f>
        <v>4.4351999999999996E-2</v>
      </c>
      <c r="F158" s="490">
        <f>[44]SmtRes!AU68</f>
        <v>0</v>
      </c>
      <c r="G158" s="490">
        <f>ROUND(([44]SmtRes!AE68+[44]SmtRes!AF68+[44]SmtRes!AH68),2)</f>
        <v>8.1</v>
      </c>
      <c r="H158" s="490">
        <f>ROUND(([44]SmtRes!AE68+[44]SmtRes!AF68+[44]SmtRes!AH68)*[44]SmtRes!Y68*[44]Source!I35,2)</f>
        <v>0.36</v>
      </c>
      <c r="I158" s="490" t="str">
        <f>[44]Source!BO35</f>
        <v>м08-02-472-7</v>
      </c>
      <c r="J158" s="490">
        <f>IF([44]SmtRes!H68=1,[44]Source!BA35,IF([44]SmtRes!H68=2,[44]Source!BB35,[44]Source!BC35))</f>
        <v>1</v>
      </c>
      <c r="K158" s="490">
        <f>ROUND(([44]SmtRes!AA68+[44]SmtRes!AB68+[44]SmtRes!AD68)*[44]SmtRes!Y68*[44]Source!I35,2)</f>
        <v>2.09</v>
      </c>
      <c r="L158" s="490"/>
    </row>
    <row r="159" spans="1:12" ht="28.5" x14ac:dyDescent="0.25">
      <c r="A159" s="490"/>
      <c r="B159" s="490" t="str">
        <f>[44]SmtRes!I69</f>
        <v>400002</v>
      </c>
      <c r="C159" s="490" t="str">
        <f>[44]SmtRes!K69</f>
        <v>Автомобили бортовые, грузоподъемность: до 8 т</v>
      </c>
      <c r="D159" s="490" t="str">
        <f>[44]SmtRes!O69</f>
        <v>маш.-ч</v>
      </c>
      <c r="E159" s="490">
        <f>[44]SmtRes!Y69*[44]Source!I35</f>
        <v>3.3E-3</v>
      </c>
      <c r="F159" s="490">
        <f>[44]SmtRes!AU69</f>
        <v>0</v>
      </c>
      <c r="G159" s="490">
        <f>ROUND(([44]SmtRes!AE69+[44]SmtRes!AF69+[44]SmtRes!AH69),2)</f>
        <v>109.17</v>
      </c>
      <c r="H159" s="490">
        <f>ROUND(([44]SmtRes!AE69+[44]SmtRes!AF69+[44]SmtRes!AH69)*[44]SmtRes!Y69*[44]Source!I35,2)</f>
        <v>0.36</v>
      </c>
      <c r="I159" s="490" t="str">
        <f>[44]Source!BO35</f>
        <v>м08-02-472-7</v>
      </c>
      <c r="J159" s="490">
        <f>IF([44]SmtRes!H69=1,[44]Source!BA35,IF([44]SmtRes!H69=2,[44]Source!BB35,[44]Source!BC35))</f>
        <v>1</v>
      </c>
      <c r="K159" s="490">
        <f>ROUND(([44]SmtRes!AA69+[44]SmtRes!AB69+[44]SmtRes!AD69)*[44]SmtRes!Y69*[44]Source!I35,2)</f>
        <v>2.92</v>
      </c>
      <c r="L159" s="490"/>
    </row>
    <row r="160" spans="1:12" ht="28.5" x14ac:dyDescent="0.25">
      <c r="A160" s="490"/>
      <c r="B160" s="490" t="str">
        <f>[44]SmtRes!I70</f>
        <v>101-1627</v>
      </c>
      <c r="C160" s="490" t="str">
        <f>[44]SmtRes!K70</f>
        <v>Сталь листовая углеродистая обыкновенного качества марки ВСт3пс5 толщиной 4-6 мм</v>
      </c>
      <c r="D160" s="490" t="str">
        <f>[44]SmtRes!O70</f>
        <v>т</v>
      </c>
      <c r="E160" s="490">
        <f>[44]SmtRes!Y70*[44]Source!I35</f>
        <v>5.2800000000000003E-5</v>
      </c>
      <c r="F160" s="490">
        <f>[44]SmtRes!AU70</f>
        <v>0</v>
      </c>
      <c r="G160" s="490">
        <f>ROUND(([44]SmtRes!AE70+[44]SmtRes!AF70+[44]SmtRes!AH70),2)</f>
        <v>5763</v>
      </c>
      <c r="H160" s="490">
        <f>ROUND(([44]SmtRes!AE70+[44]SmtRes!AF70+[44]SmtRes!AH70)*[44]SmtRes!Y70*[44]Source!I35,2)</f>
        <v>0.3</v>
      </c>
      <c r="I160" s="490" t="str">
        <f>[44]Source!BO35</f>
        <v>м08-02-472-7</v>
      </c>
      <c r="J160" s="490">
        <f>IF([44]SmtRes!H70=1,[44]Source!BA35,IF([44]SmtRes!H70=2,[44]Source!BB35,[44]Source!BC35))</f>
        <v>1</v>
      </c>
      <c r="K160" s="490">
        <f>ROUND(([44]SmtRes!AE70+[44]SmtRes!AF70+[44]SmtRes!AH70)*[44]SmtRes!Y70*[44]Source!I35*J160,2)</f>
        <v>0.3</v>
      </c>
      <c r="L160" s="490"/>
    </row>
    <row r="161" spans="1:12" x14ac:dyDescent="0.25">
      <c r="A161" s="490"/>
      <c r="B161" s="490" t="str">
        <f>[44]SmtRes!I71</f>
        <v>101-1699</v>
      </c>
      <c r="C161" s="490" t="str">
        <f>[44]SmtRes!K71</f>
        <v>Патроны для пристрелки</v>
      </c>
      <c r="D161" s="490" t="str">
        <f>[44]SmtRes!O71</f>
        <v>10 шт.</v>
      </c>
      <c r="E161" s="490">
        <f>[44]SmtRes!Y71*[44]Source!I35</f>
        <v>0.10823999999999999</v>
      </c>
      <c r="F161" s="490">
        <f>[44]SmtRes!AU71</f>
        <v>0</v>
      </c>
      <c r="G161" s="490">
        <f>ROUND(([44]SmtRes!AE71+[44]SmtRes!AF71+[44]SmtRes!AH71),2)</f>
        <v>5.68</v>
      </c>
      <c r="H161" s="490">
        <f>ROUND(([44]SmtRes!AE71+[44]SmtRes!AF71+[44]SmtRes!AH71)*[44]SmtRes!Y71*[44]Source!I35,2)</f>
        <v>0.61</v>
      </c>
      <c r="I161" s="490" t="str">
        <f>[44]Source!BO35</f>
        <v>м08-02-472-7</v>
      </c>
      <c r="J161" s="490">
        <f>IF([44]SmtRes!H71=1,[44]Source!BA35,IF([44]SmtRes!H71=2,[44]Source!BB35,[44]Source!BC35))</f>
        <v>1</v>
      </c>
      <c r="K161" s="490">
        <f>ROUND(([44]SmtRes!AE71+[44]SmtRes!AF71+[44]SmtRes!AH71)*[44]SmtRes!Y71*[44]Source!I35*J161,2)</f>
        <v>0.61</v>
      </c>
      <c r="L161" s="490"/>
    </row>
    <row r="162" spans="1:12" x14ac:dyDescent="0.25">
      <c r="A162" s="490"/>
      <c r="B162" s="490" t="str">
        <f>[44]SmtRes!I72</f>
        <v>101-1889</v>
      </c>
      <c r="C162" s="490" t="str">
        <f>[44]SmtRes!K72</f>
        <v>Сталь полосовая 40х4 мм, кипящая</v>
      </c>
      <c r="D162" s="490" t="str">
        <f>[44]SmtRes!O72</f>
        <v>т</v>
      </c>
      <c r="E162" s="490">
        <f>[44]SmtRes!Y72*[44]Source!I35</f>
        <v>1.7160000000000001E-3</v>
      </c>
      <c r="F162" s="490">
        <f>[44]SmtRes!AU72</f>
        <v>0</v>
      </c>
      <c r="G162" s="490">
        <f>ROUND(([44]SmtRes!AE72+[44]SmtRes!AF72+[44]SmtRes!AH72),2)</f>
        <v>6718.47</v>
      </c>
      <c r="H162" s="490">
        <f>ROUND(([44]SmtRes!AE72+[44]SmtRes!AF72+[44]SmtRes!AH72)*[44]SmtRes!Y72*[44]Source!I35,2)</f>
        <v>11.53</v>
      </c>
      <c r="I162" s="490" t="str">
        <f>[44]Source!BO35</f>
        <v>м08-02-472-7</v>
      </c>
      <c r="J162" s="490">
        <f>IF([44]SmtRes!H72=1,[44]Source!BA35,IF([44]SmtRes!H72=2,[44]Source!BB35,[44]Source!BC35))</f>
        <v>1</v>
      </c>
      <c r="K162" s="490">
        <f>ROUND(([44]SmtRes!AE72+[44]SmtRes!AF72+[44]SmtRes!AH72)*[44]SmtRes!Y72*[44]Source!I35*J162,2)</f>
        <v>11.53</v>
      </c>
      <c r="L162" s="490"/>
    </row>
    <row r="163" spans="1:12" x14ac:dyDescent="0.25">
      <c r="A163" s="490"/>
      <c r="B163" s="490" t="str">
        <f>[44]SmtRes!I73</f>
        <v>101-1924</v>
      </c>
      <c r="C163" s="490" t="str">
        <f>[44]SmtRes!K73</f>
        <v>Электроды диаметром 4 мм Э42А</v>
      </c>
      <c r="D163" s="490" t="str">
        <f>[44]SmtRes!O73</f>
        <v>кг</v>
      </c>
      <c r="E163" s="490">
        <f>[44]SmtRes!Y73*[44]Source!I35</f>
        <v>1.7160000000000002E-2</v>
      </c>
      <c r="F163" s="490">
        <f>[44]SmtRes!AU73</f>
        <v>0</v>
      </c>
      <c r="G163" s="490">
        <f>ROUND(([44]SmtRes!AE73+[44]SmtRes!AF73+[44]SmtRes!AH73),2)</f>
        <v>11.11</v>
      </c>
      <c r="H163" s="490">
        <f>ROUND(([44]SmtRes!AE73+[44]SmtRes!AF73+[44]SmtRes!AH73)*[44]SmtRes!Y73*[44]Source!I35,2)</f>
        <v>0.19</v>
      </c>
      <c r="I163" s="490" t="str">
        <f>[44]Source!BO35</f>
        <v>м08-02-472-7</v>
      </c>
      <c r="J163" s="490">
        <f>IF([44]SmtRes!H73=1,[44]Source!BA35,IF([44]SmtRes!H73=2,[44]Source!BB35,[44]Source!BC35))</f>
        <v>1</v>
      </c>
      <c r="K163" s="490">
        <f>ROUND(([44]SmtRes!AE73+[44]SmtRes!AF73+[44]SmtRes!AH73)*[44]SmtRes!Y73*[44]Source!I35*J163,2)</f>
        <v>0.19</v>
      </c>
      <c r="L163" s="490"/>
    </row>
    <row r="164" spans="1:12" x14ac:dyDescent="0.25">
      <c r="A164" s="490"/>
      <c r="B164" s="490" t="str">
        <f>[44]SmtRes!I74</f>
        <v>101-2143</v>
      </c>
      <c r="C164" s="490" t="str">
        <f>[44]SmtRes!K74</f>
        <v>Краска</v>
      </c>
      <c r="D164" s="490" t="str">
        <f>[44]SmtRes!O74</f>
        <v>кг</v>
      </c>
      <c r="E164" s="490">
        <f>[44]SmtRes!Y74*[44]Source!I35</f>
        <v>3.0359999999999998E-2</v>
      </c>
      <c r="F164" s="490">
        <f>[44]SmtRes!AU74</f>
        <v>0</v>
      </c>
      <c r="G164" s="490">
        <f>ROUND(([44]SmtRes!AE74+[44]SmtRes!AF74+[44]SmtRes!AH74),2)</f>
        <v>28.6</v>
      </c>
      <c r="H164" s="490">
        <f>ROUND(([44]SmtRes!AE74+[44]SmtRes!AF74+[44]SmtRes!AH74)*[44]SmtRes!Y74*[44]Source!I35,2)</f>
        <v>0.87</v>
      </c>
      <c r="I164" s="490" t="str">
        <f>[44]Source!BO35</f>
        <v>м08-02-472-7</v>
      </c>
      <c r="J164" s="490">
        <f>IF([44]SmtRes!H74=1,[44]Source!BA35,IF([44]SmtRes!H74=2,[44]Source!BB35,[44]Source!BC35))</f>
        <v>1</v>
      </c>
      <c r="K164" s="490">
        <f>ROUND(([44]SmtRes!AE74+[44]SmtRes!AF74+[44]SmtRes!AH74)*[44]SmtRes!Y74*[44]Source!I35*J164,2)</f>
        <v>0.87</v>
      </c>
      <c r="L164" s="490"/>
    </row>
    <row r="165" spans="1:12" x14ac:dyDescent="0.25">
      <c r="A165" s="490"/>
      <c r="B165" s="490" t="str">
        <f>[44]SmtRes!I75</f>
        <v>101-3911</v>
      </c>
      <c r="C165" s="490" t="str">
        <f>[44]SmtRes!K75</f>
        <v>Дюбели для пристрелки стальные</v>
      </c>
      <c r="D165" s="490" t="str">
        <f>[44]SmtRes!O75</f>
        <v>10 шт.</v>
      </c>
      <c r="E165" s="490">
        <f>[44]SmtRes!Y75*[44]Source!I35</f>
        <v>0.10823999999999999</v>
      </c>
      <c r="F165" s="490">
        <f>[44]SmtRes!AU75</f>
        <v>0</v>
      </c>
      <c r="G165" s="490">
        <f>ROUND(([44]SmtRes!AE75+[44]SmtRes!AF75+[44]SmtRes!AH75),2)</f>
        <v>5.4</v>
      </c>
      <c r="H165" s="490">
        <f>ROUND(([44]SmtRes!AE75+[44]SmtRes!AF75+[44]SmtRes!AH75)*[44]SmtRes!Y75*[44]Source!I35,2)</f>
        <v>0.57999999999999996</v>
      </c>
      <c r="I165" s="490" t="str">
        <f>[44]Source!BO35</f>
        <v>м08-02-472-7</v>
      </c>
      <c r="J165" s="490">
        <f>IF([44]SmtRes!H75=1,[44]Source!BA35,IF([44]SmtRes!H75=2,[44]Source!BB35,[44]Source!BC35))</f>
        <v>1</v>
      </c>
      <c r="K165" s="490">
        <f>ROUND(([44]SmtRes!AE75+[44]SmtRes!AF75+[44]SmtRes!AH75)*[44]SmtRes!Y75*[44]Source!I35*J165,2)</f>
        <v>0.57999999999999996</v>
      </c>
      <c r="L165" s="490"/>
    </row>
    <row r="166" spans="1:12" x14ac:dyDescent="0.25">
      <c r="A166" s="490"/>
      <c r="B166" s="490" t="str">
        <f>[44]SmtRes!I76</f>
        <v>509-0104</v>
      </c>
      <c r="C166" s="490" t="str">
        <f>[44]SmtRes!K76</f>
        <v>Скобы двухлапковые</v>
      </c>
      <c r="D166" s="491" t="str">
        <f>[44]SmtRes!O76</f>
        <v>10 шт.</v>
      </c>
      <c r="E166" s="491">
        <f>[44]SmtRes!Y76*[44]Source!I35</f>
        <v>1.9799999999999998E-2</v>
      </c>
      <c r="F166" s="491">
        <f>[44]SmtRes!AU76</f>
        <v>0</v>
      </c>
      <c r="G166" s="491">
        <f>ROUND(([44]SmtRes!AE76+[44]SmtRes!AF76+[44]SmtRes!AH76),2)</f>
        <v>32.799999999999997</v>
      </c>
      <c r="H166" s="491">
        <f>ROUND(([44]SmtRes!AE76+[44]SmtRes!AF76+[44]SmtRes!AH76)*[44]SmtRes!Y76*[44]Source!I35,2)</f>
        <v>0.65</v>
      </c>
      <c r="I166" s="491" t="str">
        <f>[44]Source!BO35</f>
        <v>м08-02-472-7</v>
      </c>
      <c r="J166" s="491">
        <f>IF([44]SmtRes!H76=1,[44]Source!BA35,IF([44]SmtRes!H76=2,[44]Source!BB35,[44]Source!BC35))</f>
        <v>1</v>
      </c>
      <c r="K166" s="491">
        <f>ROUND(([44]SmtRes!AE76+[44]SmtRes!AF76+[44]SmtRes!AH76)*[44]SmtRes!Y76*[44]Source!I35*J166,2)</f>
        <v>0.65</v>
      </c>
      <c r="L166" s="491"/>
    </row>
    <row r="167" spans="1:12" s="481" customFormat="1" ht="28.5" x14ac:dyDescent="0.25">
      <c r="A167" s="492" t="str">
        <f>[44]Source!E36</f>
        <v>9</v>
      </c>
      <c r="B167" s="493" t="str">
        <f>CONCATENATE([44]Source!F36,"                       ", [44]Source!EO36)</f>
        <v xml:space="preserve">33-03-004-1                       </v>
      </c>
      <c r="C167" s="494" t="str">
        <f>[44]Source!G36</f>
        <v>Забивка вертикальных заземлителей механизированная, на глубину до 5 м</v>
      </c>
      <c r="D167" s="495" t="str">
        <f>[44]Source!H36</f>
        <v>шт.</v>
      </c>
      <c r="E167" s="496">
        <v>4</v>
      </c>
      <c r="F167" s="496"/>
      <c r="G167" s="496">
        <f>ROUND([44]Source!AB36+[44]Source!HA36,3)</f>
        <v>148.75</v>
      </c>
      <c r="H167" s="496">
        <f>ROUND(([44]Source!AB36+[44]Source!HA36)*[44]Source!I36,3)</f>
        <v>595</v>
      </c>
      <c r="I167" s="496"/>
      <c r="J167" s="496"/>
      <c r="K167" s="496">
        <f>ROUND([44]Source!O36,2)</f>
        <v>595</v>
      </c>
      <c r="L167" s="496"/>
    </row>
    <row r="168" spans="1:12" x14ac:dyDescent="0.25">
      <c r="A168" s="482"/>
      <c r="B168" s="482"/>
      <c r="C168" s="474" t="s">
        <v>331</v>
      </c>
      <c r="D168" s="483"/>
      <c r="E168" s="483"/>
      <c r="F168" s="484" t="str">
        <f>IF([44]Source!DG36="","-",[44]Source!DG36)</f>
        <v>-</v>
      </c>
      <c r="G168" s="483">
        <f>ROUND([44]Source!AF36,3)</f>
        <v>6.61</v>
      </c>
      <c r="H168" s="483">
        <f>ROUND([44]Source!AF36*[44]Source!I36,3)</f>
        <v>26.44</v>
      </c>
      <c r="I168" s="485" t="str">
        <f>[44]Source!BO36</f>
        <v>33-03-004-1</v>
      </c>
      <c r="J168" s="483">
        <f>[44]Source!BA36</f>
        <v>1</v>
      </c>
      <c r="K168" s="483">
        <f>ROUND([44]Source!S36,2)</f>
        <v>26.44</v>
      </c>
      <c r="L168" s="483"/>
    </row>
    <row r="169" spans="1:12" x14ac:dyDescent="0.25">
      <c r="A169" s="482"/>
      <c r="B169" s="482"/>
      <c r="C169" s="474" t="s">
        <v>332</v>
      </c>
      <c r="D169" s="483"/>
      <c r="E169" s="483"/>
      <c r="F169" s="484" t="str">
        <f>IF([44]Source!DE36="","-",[44]Source!DE36)</f>
        <v>-</v>
      </c>
      <c r="G169" s="483">
        <f>ROUND([44]Source!AD36,3)</f>
        <v>117.32</v>
      </c>
      <c r="H169" s="483">
        <f>ROUND([44]Source!AD36*[44]Source!I36,3)</f>
        <v>469.28</v>
      </c>
      <c r="I169" s="485"/>
      <c r="J169" s="483">
        <f>[44]Source!BB36</f>
        <v>1</v>
      </c>
      <c r="K169" s="483">
        <f>ROUND([44]Source!Q36,2)</f>
        <v>469.28</v>
      </c>
      <c r="L169" s="483"/>
    </row>
    <row r="170" spans="1:12" x14ac:dyDescent="0.25">
      <c r="A170" s="482"/>
      <c r="B170" s="482"/>
      <c r="C170" s="474" t="s">
        <v>333</v>
      </c>
      <c r="D170" s="483"/>
      <c r="E170" s="483"/>
      <c r="F170" s="484" t="str">
        <f>IF([44]Source!DF36="","-",[44]Source!DF36)</f>
        <v>-</v>
      </c>
      <c r="G170" s="483">
        <f>ROUND([44]Source!AE36,3)</f>
        <v>5.92</v>
      </c>
      <c r="H170" s="483">
        <f>ROUND([44]Source!AE36*[44]Source!I36,3)</f>
        <v>23.68</v>
      </c>
      <c r="I170" s="485"/>
      <c r="J170" s="483">
        <f>[44]Source!BS36</f>
        <v>1</v>
      </c>
      <c r="K170" s="483">
        <f>ROUND([44]Source!R36,2)</f>
        <v>23.68</v>
      </c>
      <c r="L170" s="483"/>
    </row>
    <row r="171" spans="1:12" x14ac:dyDescent="0.25">
      <c r="A171" s="482"/>
      <c r="B171" s="482"/>
      <c r="C171" s="474" t="s">
        <v>337</v>
      </c>
      <c r="D171" s="483"/>
      <c r="E171" s="483"/>
      <c r="F171" s="484" t="str">
        <f>IF([44]Source!DD36="","-",[44]Source!DD36)</f>
        <v>-</v>
      </c>
      <c r="G171" s="483">
        <f>ROUND([44]Source!AC36+[44]Source!HA36,3)</f>
        <v>24.82</v>
      </c>
      <c r="H171" s="483">
        <f>ROUND(([44]Source!AC36+[44]Source!HA36)*[44]Source!I36,3)</f>
        <v>99.28</v>
      </c>
      <c r="I171" s="485"/>
      <c r="J171" s="483">
        <f>[44]Source!BC36</f>
        <v>1</v>
      </c>
      <c r="K171" s="483">
        <f>ROUND([44]Source!P36,2)</f>
        <v>99.28</v>
      </c>
      <c r="L171" s="483"/>
    </row>
    <row r="172" spans="1:12" x14ac:dyDescent="0.25">
      <c r="A172" s="482"/>
      <c r="B172" s="482"/>
      <c r="C172" s="474" t="s">
        <v>334</v>
      </c>
      <c r="D172" s="483"/>
      <c r="E172" s="483">
        <f>ROUND([44]Source!AH36,2)</f>
        <v>0.81</v>
      </c>
      <c r="F172" s="483"/>
      <c r="G172" s="483"/>
      <c r="H172" s="483"/>
      <c r="I172" s="483"/>
      <c r="J172" s="483"/>
      <c r="K172" s="483"/>
      <c r="L172" s="483">
        <f>ROUND([44]Source!U36,2)</f>
        <v>3.24</v>
      </c>
    </row>
    <row r="173" spans="1:12" x14ac:dyDescent="0.25">
      <c r="A173" s="482"/>
      <c r="B173" s="482"/>
      <c r="C173" s="474" t="s">
        <v>335</v>
      </c>
      <c r="D173" s="483"/>
      <c r="E173" s="486" t="str">
        <f>CONCATENATE([44]Source!BZ36,"%")</f>
        <v>105%</v>
      </c>
      <c r="F173" s="483"/>
      <c r="G173" s="483">
        <f>ROUND(([44]Source!AO36+ [44]Source!AN36)*[44]Source!AT36/100,3)</f>
        <v>13.157</v>
      </c>
      <c r="H173" s="483">
        <f>ROUND(([44]Source!AE36+ [44]Source!AF36)*[44]Source!AT36/100*[44]Source!I36,2)</f>
        <v>52.63</v>
      </c>
      <c r="I173" s="483"/>
      <c r="J173" s="483" t="str">
        <f>CONCATENATE([44]Source!AT36,"%")</f>
        <v>105%</v>
      </c>
      <c r="K173" s="483">
        <f>ROUND([44]Source!X36,2)</f>
        <v>52.63</v>
      </c>
      <c r="L173" s="483"/>
    </row>
    <row r="174" spans="1:12" x14ac:dyDescent="0.25">
      <c r="A174" s="482"/>
      <c r="B174" s="482"/>
      <c r="C174" s="474" t="s">
        <v>336</v>
      </c>
      <c r="D174" s="487"/>
      <c r="E174" s="488" t="str">
        <f>CONCATENATE([44]Source!CA36,"%")</f>
        <v>60%</v>
      </c>
      <c r="F174" s="487"/>
      <c r="G174" s="487">
        <f>ROUND(([44]Source!AO36+ [44]Source!AN36)*[44]Source!AU36/100,3)</f>
        <v>7.5179999999999998</v>
      </c>
      <c r="H174" s="487">
        <f>ROUND(([44]Source!AE36+ [44]Source!AF36)*[44]Source!AU36/100*[44]Source!I36,2)</f>
        <v>30.07</v>
      </c>
      <c r="I174" s="487"/>
      <c r="J174" s="487" t="str">
        <f>CONCATENATE([44]Source!AU36,"%")</f>
        <v>60%</v>
      </c>
      <c r="K174" s="487">
        <f>ROUND([44]Source!Y36,2)</f>
        <v>30.07</v>
      </c>
      <c r="L174" s="487"/>
    </row>
    <row r="175" spans="1:12" x14ac:dyDescent="0.25">
      <c r="A175" s="482"/>
      <c r="B175" s="482"/>
      <c r="C175" s="474"/>
      <c r="D175" s="489"/>
      <c r="E175" s="489"/>
      <c r="F175" s="489"/>
      <c r="G175" s="489">
        <f>ROUND(([44]Source!AO36+ [44]Source!AN36)/100*([44]Source!AT36+[44]Source!AU36)+[44]Source!AK36,2)</f>
        <v>169.42</v>
      </c>
      <c r="H175" s="489">
        <f>ROUND([44]Source!DY36,2)</f>
        <v>677.7</v>
      </c>
      <c r="I175" s="489"/>
      <c r="J175" s="489"/>
      <c r="K175" s="489">
        <f>ROUND([44]Source!O36+[44]Source!HB36+[44]Source!X36+[44]Source!Y36,2)</f>
        <v>677.7</v>
      </c>
      <c r="L175" s="489">
        <f>ROUND([44]Source!U36,2)</f>
        <v>3.24</v>
      </c>
    </row>
    <row r="176" spans="1:12" x14ac:dyDescent="0.25">
      <c r="A176" s="490"/>
      <c r="B176" s="490" t="str">
        <f>[44]SmtRes!I78</f>
        <v>1-1029-69</v>
      </c>
      <c r="C176" s="490" t="str">
        <f>[44]SmtRes!K78</f>
        <v>Рабочий строитель среднего разряда 2,9</v>
      </c>
      <c r="D176" s="490" t="str">
        <f>[44]SmtRes!O78</f>
        <v>чел.-ч</v>
      </c>
      <c r="E176" s="490">
        <f>[44]SmtRes!Y78*[44]Source!I36</f>
        <v>3.24</v>
      </c>
      <c r="F176" s="490">
        <f>[44]SmtRes!AU78</f>
        <v>0</v>
      </c>
      <c r="G176" s="490">
        <f>ROUND(([44]SmtRes!AE78+[44]SmtRes!AF78+[44]SmtRes!AH78),2)</f>
        <v>8.16</v>
      </c>
      <c r="H176" s="490">
        <f>ROUND(([44]SmtRes!AE78+[44]SmtRes!AF78+[44]SmtRes!AH78)*[44]SmtRes!Y78*[44]Source!I36,2)</f>
        <v>26.44</v>
      </c>
      <c r="I176" s="490" t="str">
        <f>[44]Source!BO36</f>
        <v>33-03-004-1</v>
      </c>
      <c r="J176" s="490">
        <f>IF([44]SmtRes!H78=1,[44]Source!BA36,IF([44]SmtRes!H78=2,[44]Source!BB36,[44]Source!BC36))</f>
        <v>1</v>
      </c>
      <c r="K176" s="490">
        <f>ROUND(([44]SmtRes!AA78+[44]SmtRes!AB78+[44]SmtRes!AD78)*[44]SmtRes!Y78*[44]Source!I36*J176,2)</f>
        <v>26.44</v>
      </c>
      <c r="L176" s="490"/>
    </row>
    <row r="177" spans="1:12" x14ac:dyDescent="0.25">
      <c r="A177" s="490"/>
      <c r="B177" s="490" t="str">
        <f>[44]SmtRes!I79</f>
        <v>2</v>
      </c>
      <c r="C177" s="490" t="str">
        <f>[44]SmtRes!K79</f>
        <v>Затраты труда машинистов</v>
      </c>
      <c r="D177" s="490" t="str">
        <f>[44]SmtRes!O79</f>
        <v>чел.-ч</v>
      </c>
      <c r="E177" s="490">
        <f>[44]SmtRes!Y79*[44]Source!I36</f>
        <v>2.44</v>
      </c>
      <c r="F177" s="490">
        <f>[44]SmtRes!AU79</f>
        <v>0</v>
      </c>
      <c r="G177" s="490">
        <f>ROUND(([44]SmtRes!AE79+[44]SmtRes!AF79+[44]SmtRes!AH79),2)</f>
        <v>0</v>
      </c>
      <c r="H177" s="490">
        <f>ROUND(([44]SmtRes!AE79+[44]SmtRes!AF79+[44]SmtRes!AH79)*[44]SmtRes!Y79*[44]Source!I36,2)</f>
        <v>0</v>
      </c>
      <c r="I177" s="490" t="str">
        <f>[44]Source!BO36</f>
        <v>33-03-004-1</v>
      </c>
      <c r="J177" s="490">
        <f>IF([44]SmtRes!H79=1,[44]Source!BA36,IF([44]SmtRes!H79=2,[44]Source!BB36,[44]Source!BC36))</f>
        <v>1</v>
      </c>
      <c r="K177" s="490">
        <f>ROUND(([44]SmtRes!AA79+[44]SmtRes!AB79+[44]SmtRes!AD79)*[44]SmtRes!Y79*[44]Source!I36*J177,2)</f>
        <v>0</v>
      </c>
      <c r="L177" s="490"/>
    </row>
    <row r="178" spans="1:12" ht="42.75" x14ac:dyDescent="0.25">
      <c r="A178" s="490"/>
      <c r="B178" s="490" t="str">
        <f>[44]SmtRes!I80</f>
        <v>040202</v>
      </c>
      <c r="C178" s="490" t="str">
        <f>[44]SmtRes!K80</f>
        <v>Агрегаты сварочные передвижные с номинальным сварочным током 250-400 А: с дизельным двигателем</v>
      </c>
      <c r="D178" s="490" t="str">
        <f>[44]SmtRes!O80</f>
        <v>маш.-ч</v>
      </c>
      <c r="E178" s="490">
        <f>[44]SmtRes!Y80*[44]Source!I36</f>
        <v>0.76</v>
      </c>
      <c r="F178" s="490">
        <f>[44]SmtRes!AU80</f>
        <v>0</v>
      </c>
      <c r="G178" s="490">
        <f>ROUND(([44]SmtRes!AE80+[44]SmtRes!AF80+[44]SmtRes!AH80),2)</f>
        <v>13.11</v>
      </c>
      <c r="H178" s="490">
        <f>ROUND(([44]SmtRes!AE80+[44]SmtRes!AF80+[44]SmtRes!AH80)*[44]SmtRes!Y80*[44]Source!I36,2)</f>
        <v>9.9600000000000009</v>
      </c>
      <c r="I178" s="490" t="str">
        <f>[44]Source!BO36</f>
        <v>33-03-004-1</v>
      </c>
      <c r="J178" s="490">
        <f>IF([44]SmtRes!H80=1,[44]Source!BA36,IF([44]SmtRes!H80=2,[44]Source!BB36,[44]Source!BC36))</f>
        <v>1</v>
      </c>
      <c r="K178" s="490">
        <f>ROUND(([44]SmtRes!AA80+[44]SmtRes!AB80+[44]SmtRes!AD80)*[44]SmtRes!Y80*[44]Source!I36,2)</f>
        <v>62.87</v>
      </c>
      <c r="L178" s="490"/>
    </row>
    <row r="179" spans="1:12" ht="42.75" x14ac:dyDescent="0.25">
      <c r="A179" s="490"/>
      <c r="B179" s="490" t="str">
        <f>[44]SmtRes!I81</f>
        <v>050102</v>
      </c>
      <c r="C179" s="490" t="str">
        <f>[44]SmtRes!K81</f>
        <v>Компрессоры передвижные с двигателем внутреннего сгорания давлением: до 686 кПа (7 ат), производительность 5 м3/мин</v>
      </c>
      <c r="D179" s="490" t="str">
        <f>[44]SmtRes!O81</f>
        <v>маш.-ч</v>
      </c>
      <c r="E179" s="490">
        <f>[44]SmtRes!Y81*[44]Source!I36</f>
        <v>2.44</v>
      </c>
      <c r="F179" s="490">
        <f>[44]SmtRes!AU81</f>
        <v>0</v>
      </c>
      <c r="G179" s="490">
        <f>ROUND(([44]SmtRes!AE81+[44]SmtRes!AF81+[44]SmtRes!AH81),2)</f>
        <v>97.12</v>
      </c>
      <c r="H179" s="490">
        <f>ROUND(([44]SmtRes!AE81+[44]SmtRes!AF81+[44]SmtRes!AH81)*[44]SmtRes!Y81*[44]Source!I36,2)</f>
        <v>236.97</v>
      </c>
      <c r="I179" s="490" t="str">
        <f>[44]Source!BO36</f>
        <v>33-03-004-1</v>
      </c>
      <c r="J179" s="490">
        <f>IF([44]SmtRes!H81=1,[44]Source!BA36,IF([44]SmtRes!H81=2,[44]Source!BB36,[44]Source!BC36))</f>
        <v>1</v>
      </c>
      <c r="K179" s="490">
        <f>ROUND(([44]SmtRes!AA81+[44]SmtRes!AB81+[44]SmtRes!AD81)*[44]SmtRes!Y81*[44]Source!I36,2)</f>
        <v>236.97</v>
      </c>
      <c r="L179" s="490"/>
    </row>
    <row r="180" spans="1:12" x14ac:dyDescent="0.25">
      <c r="A180" s="490"/>
      <c r="B180" s="490" t="str">
        <f>[44]SmtRes!I82</f>
        <v>331481</v>
      </c>
      <c r="C180" s="490" t="str">
        <f>[44]SmtRes!K82</f>
        <v>Машины пневматические ПУМ-3</v>
      </c>
      <c r="D180" s="490" t="str">
        <f>[44]SmtRes!O82</f>
        <v>маш.-ч</v>
      </c>
      <c r="E180" s="490">
        <f>[44]SmtRes!Y82*[44]Source!I36</f>
        <v>2.44</v>
      </c>
      <c r="F180" s="490">
        <f>[44]SmtRes!AU82</f>
        <v>0</v>
      </c>
      <c r="G180" s="490">
        <f>ROUND(([44]SmtRes!AE82+[44]SmtRes!AF82+[44]SmtRes!AH82),2)</f>
        <v>91.13</v>
      </c>
      <c r="H180" s="490">
        <f>ROUND(([44]SmtRes!AE82+[44]SmtRes!AF82+[44]SmtRes!AH82)*[44]SmtRes!Y82*[44]Source!I36,2)</f>
        <v>222.36</v>
      </c>
      <c r="I180" s="490" t="str">
        <f>[44]Source!BO36</f>
        <v>33-03-004-1</v>
      </c>
      <c r="J180" s="490">
        <f>IF([44]SmtRes!H82=1,[44]Source!BA36,IF([44]SmtRes!H82=2,[44]Source!BB36,[44]Source!BC36))</f>
        <v>1</v>
      </c>
      <c r="K180" s="490">
        <f>ROUND(([44]SmtRes!AA82+[44]SmtRes!AB82+[44]SmtRes!AD82)*[44]SmtRes!Y82*[44]Source!I36,2)</f>
        <v>522.54999999999995</v>
      </c>
      <c r="L180" s="490"/>
    </row>
    <row r="181" spans="1:12" x14ac:dyDescent="0.25">
      <c r="A181" s="490"/>
      <c r="B181" s="490" t="str">
        <f>[44]SmtRes!I83</f>
        <v>101-1513</v>
      </c>
      <c r="C181" s="490" t="str">
        <f>[44]SmtRes!K83</f>
        <v>Электроды диаметром 4 мм Э42</v>
      </c>
      <c r="D181" s="490" t="str">
        <f>[44]SmtRes!O83</f>
        <v>т</v>
      </c>
      <c r="E181" s="490">
        <f>[44]SmtRes!Y83*[44]Source!I36</f>
        <v>1.2E-4</v>
      </c>
      <c r="F181" s="490">
        <f>[44]SmtRes!AU83</f>
        <v>0</v>
      </c>
      <c r="G181" s="490">
        <f>ROUND(([44]SmtRes!AE83+[44]SmtRes!AF83+[44]SmtRes!AH83),2)</f>
        <v>11191.78</v>
      </c>
      <c r="H181" s="490">
        <f>ROUND(([44]SmtRes!AE83+[44]SmtRes!AF83+[44]SmtRes!AH83)*[44]SmtRes!Y83*[44]Source!I36,2)</f>
        <v>1.34</v>
      </c>
      <c r="I181" s="490" t="str">
        <f>[44]Source!BO36</f>
        <v>33-03-004-1</v>
      </c>
      <c r="J181" s="490">
        <f>IF([44]SmtRes!H83=1,[44]Source!BA36,IF([44]SmtRes!H83=2,[44]Source!BB36,[44]Source!BC36))</f>
        <v>1</v>
      </c>
      <c r="K181" s="490">
        <f>ROUND(([44]SmtRes!AE83+[44]SmtRes!AF83+[44]SmtRes!AH83)*[44]SmtRes!Y83*[44]Source!I36*J181,2)</f>
        <v>1.34</v>
      </c>
      <c r="L181" s="490"/>
    </row>
    <row r="182" spans="1:12" ht="28.5" x14ac:dyDescent="0.25">
      <c r="A182" s="490"/>
      <c r="B182" s="490" t="str">
        <f>[44]SmtRes!I84</f>
        <v>204-0004</v>
      </c>
      <c r="C182" s="490" t="str">
        <f>[44]SmtRes!K84</f>
        <v>Горячекатаная арматурная сталь гладкая класса А-I, диаметром 12 мм</v>
      </c>
      <c r="D182" s="491" t="str">
        <f>[44]SmtRes!O84</f>
        <v>т</v>
      </c>
      <c r="E182" s="491">
        <f>[44]SmtRes!Y84*[44]Source!I36</f>
        <v>0.02</v>
      </c>
      <c r="F182" s="491">
        <f>[44]SmtRes!AU84</f>
        <v>0</v>
      </c>
      <c r="G182" s="491">
        <f>ROUND(([44]SmtRes!AE84+[44]SmtRes!AF84+[44]SmtRes!AH84),2)</f>
        <v>4903.1000000000004</v>
      </c>
      <c r="H182" s="491">
        <f>ROUND(([44]SmtRes!AE84+[44]SmtRes!AF84+[44]SmtRes!AH84)*[44]SmtRes!Y84*[44]Source!I36,2)</f>
        <v>98.06</v>
      </c>
      <c r="I182" s="491" t="str">
        <f>[44]Source!BO36</f>
        <v>33-03-004-1</v>
      </c>
      <c r="J182" s="491">
        <f>IF([44]SmtRes!H84=1,[44]Source!BA36,IF([44]SmtRes!H84=2,[44]Source!BB36,[44]Source!BC36))</f>
        <v>1</v>
      </c>
      <c r="K182" s="491">
        <f>ROUND(([44]SmtRes!AE84+[44]SmtRes!AF84+[44]SmtRes!AH84)*[44]SmtRes!Y84*[44]Source!I36*J182,2)</f>
        <v>98.06</v>
      </c>
      <c r="L182" s="491"/>
    </row>
    <row r="183" spans="1:12" s="481" customFormat="1" ht="42.75" x14ac:dyDescent="0.25">
      <c r="A183" s="492" t="str">
        <f>[44]Source!E37</f>
        <v>10</v>
      </c>
      <c r="B183" s="493" t="str">
        <f>CONCATENATE([44]Source!F37,"                       ", [44]Source!EO37)</f>
        <v xml:space="preserve">м08-02-146-3                       </v>
      </c>
      <c r="C183" s="494" t="str">
        <f>[44]Source!G37</f>
        <v>Кабель до 35 кВ с креплением накладными скобами, масса 1 м кабеля до 2 кг</v>
      </c>
      <c r="D183" s="495" t="str">
        <f>[44]Source!H37</f>
        <v>100 М КАБЕЛЯ</v>
      </c>
      <c r="E183" s="496">
        <v>0.15</v>
      </c>
      <c r="F183" s="496"/>
      <c r="G183" s="496">
        <f>ROUND([44]Source!AB37+[44]Source!HA37,3)</f>
        <v>993.65</v>
      </c>
      <c r="H183" s="496">
        <f>ROUND(([44]Source!AB37+[44]Source!HA37)*[44]Source!I37,3)</f>
        <v>149.048</v>
      </c>
      <c r="I183" s="496"/>
      <c r="J183" s="496"/>
      <c r="K183" s="496">
        <f>ROUND([44]Source!O37,2)</f>
        <v>149.05000000000001</v>
      </c>
      <c r="L183" s="496"/>
    </row>
    <row r="184" spans="1:12" x14ac:dyDescent="0.25">
      <c r="A184" s="482"/>
      <c r="B184" s="482"/>
      <c r="C184" s="474" t="s">
        <v>331</v>
      </c>
      <c r="D184" s="483"/>
      <c r="E184" s="483"/>
      <c r="F184" s="484" t="str">
        <f>IF([44]Source!DG37="","-",[44]Source!DG37)</f>
        <v>-</v>
      </c>
      <c r="G184" s="483">
        <f>ROUND([44]Source!AF37,3)</f>
        <v>143.44</v>
      </c>
      <c r="H184" s="483">
        <f>ROUND([44]Source!AF37*[44]Source!I37,3)</f>
        <v>21.515999999999998</v>
      </c>
      <c r="I184" s="485" t="str">
        <f>[44]Source!BO37</f>
        <v>м08-02-146-3</v>
      </c>
      <c r="J184" s="483">
        <f>[44]Source!BA37</f>
        <v>1</v>
      </c>
      <c r="K184" s="483">
        <f>ROUND([44]Source!S37,2)</f>
        <v>21.52</v>
      </c>
      <c r="L184" s="483"/>
    </row>
    <row r="185" spans="1:12" x14ac:dyDescent="0.25">
      <c r="A185" s="482"/>
      <c r="B185" s="482"/>
      <c r="C185" s="474" t="s">
        <v>332</v>
      </c>
      <c r="D185" s="483"/>
      <c r="E185" s="483"/>
      <c r="F185" s="484" t="str">
        <f>IF([44]Source!DE37="","-",[44]Source!DE37)</f>
        <v>-</v>
      </c>
      <c r="G185" s="483">
        <f>ROUND([44]Source!AD37,3)</f>
        <v>786.61</v>
      </c>
      <c r="H185" s="483">
        <f>ROUND([44]Source!AD37*[44]Source!I37,3)</f>
        <v>117.992</v>
      </c>
      <c r="I185" s="485"/>
      <c r="J185" s="483">
        <f>[44]Source!BB37</f>
        <v>1</v>
      </c>
      <c r="K185" s="483">
        <f>ROUND([44]Source!Q37,2)</f>
        <v>117.99</v>
      </c>
      <c r="L185" s="483"/>
    </row>
    <row r="186" spans="1:12" x14ac:dyDescent="0.25">
      <c r="A186" s="482"/>
      <c r="B186" s="482"/>
      <c r="C186" s="474" t="s">
        <v>333</v>
      </c>
      <c r="D186" s="483"/>
      <c r="E186" s="483"/>
      <c r="F186" s="484" t="str">
        <f>IF([44]Source!DF37="","-",[44]Source!DF37)</f>
        <v>-</v>
      </c>
      <c r="G186" s="483">
        <f>ROUND([44]Source!AE37,3)</f>
        <v>65.150000000000006</v>
      </c>
      <c r="H186" s="483">
        <f>ROUND([44]Source!AE37*[44]Source!I37,3)</f>
        <v>9.7729999999999997</v>
      </c>
      <c r="I186" s="485"/>
      <c r="J186" s="483">
        <f>[44]Source!BS37</f>
        <v>1</v>
      </c>
      <c r="K186" s="483">
        <f>ROUND([44]Source!R37,2)</f>
        <v>9.77</v>
      </c>
      <c r="L186" s="483"/>
    </row>
    <row r="187" spans="1:12" x14ac:dyDescent="0.25">
      <c r="A187" s="482"/>
      <c r="B187" s="482"/>
      <c r="C187" s="474" t="s">
        <v>337</v>
      </c>
      <c r="D187" s="483"/>
      <c r="E187" s="483"/>
      <c r="F187" s="484" t="str">
        <f>IF([44]Source!DD37="","-",[44]Source!DD37)</f>
        <v>-</v>
      </c>
      <c r="G187" s="483">
        <f>ROUND([44]Source!AC37+[44]Source!HA37,3)</f>
        <v>63.6</v>
      </c>
      <c r="H187" s="483">
        <f>ROUND(([44]Source!AC37+[44]Source!HA37)*[44]Source!I37,3)</f>
        <v>9.5399999999999991</v>
      </c>
      <c r="I187" s="485"/>
      <c r="J187" s="483">
        <f>[44]Source!BC37</f>
        <v>1</v>
      </c>
      <c r="K187" s="483">
        <f>ROUND([44]Source!P37,2)</f>
        <v>9.5399999999999991</v>
      </c>
      <c r="L187" s="483"/>
    </row>
    <row r="188" spans="1:12" x14ac:dyDescent="0.25">
      <c r="A188" s="482"/>
      <c r="B188" s="482"/>
      <c r="C188" s="474" t="s">
        <v>334</v>
      </c>
      <c r="D188" s="483"/>
      <c r="E188" s="483">
        <f>ROUND([44]Source!AH37,2)</f>
        <v>15.44</v>
      </c>
      <c r="F188" s="483"/>
      <c r="G188" s="483"/>
      <c r="H188" s="483"/>
      <c r="I188" s="483"/>
      <c r="J188" s="483"/>
      <c r="K188" s="483"/>
      <c r="L188" s="483">
        <f>ROUND([44]Source!U37,2)</f>
        <v>2.3199999999999998</v>
      </c>
    </row>
    <row r="189" spans="1:12" x14ac:dyDescent="0.25">
      <c r="A189" s="482"/>
      <c r="B189" s="482"/>
      <c r="C189" s="474" t="s">
        <v>335</v>
      </c>
      <c r="D189" s="483"/>
      <c r="E189" s="486" t="str">
        <f>CONCATENATE([44]Source!BZ37,"%")</f>
        <v>95%</v>
      </c>
      <c r="F189" s="483"/>
      <c r="G189" s="483">
        <f>ROUND(([44]Source!AO37+ [44]Source!AN37)*[44]Source!AT37/100,3)</f>
        <v>198.161</v>
      </c>
      <c r="H189" s="483">
        <f>ROUND(([44]Source!AE37+ [44]Source!AF37)*[44]Source!AT37/100*[44]Source!I37,2)</f>
        <v>29.72</v>
      </c>
      <c r="I189" s="483"/>
      <c r="J189" s="483" t="str">
        <f>CONCATENATE([44]Source!AT37,"%")</f>
        <v>95%</v>
      </c>
      <c r="K189" s="483">
        <f>ROUND([44]Source!X37,2)</f>
        <v>29.73</v>
      </c>
      <c r="L189" s="483"/>
    </row>
    <row r="190" spans="1:12" x14ac:dyDescent="0.25">
      <c r="A190" s="482"/>
      <c r="B190" s="482"/>
      <c r="C190" s="474" t="s">
        <v>336</v>
      </c>
      <c r="D190" s="487"/>
      <c r="E190" s="488" t="str">
        <f>CONCATENATE([44]Source!CA37,"%")</f>
        <v>65%</v>
      </c>
      <c r="F190" s="487"/>
      <c r="G190" s="487">
        <f>ROUND(([44]Source!AO37+ [44]Source!AN37)*[44]Source!AU37/100,3)</f>
        <v>135.584</v>
      </c>
      <c r="H190" s="487">
        <f>ROUND(([44]Source!AE37+ [44]Source!AF37)*[44]Source!AU37/100*[44]Source!I37,2)</f>
        <v>20.34</v>
      </c>
      <c r="I190" s="487"/>
      <c r="J190" s="487" t="str">
        <f>CONCATENATE([44]Source!AU37,"%")</f>
        <v>65%</v>
      </c>
      <c r="K190" s="487">
        <f>ROUND([44]Source!Y37,2)</f>
        <v>20.34</v>
      </c>
      <c r="L190" s="487"/>
    </row>
    <row r="191" spans="1:12" x14ac:dyDescent="0.25">
      <c r="A191" s="482"/>
      <c r="B191" s="482"/>
      <c r="C191" s="474"/>
      <c r="D191" s="489"/>
      <c r="E191" s="489"/>
      <c r="F191" s="489"/>
      <c r="G191" s="489">
        <f>ROUND(([44]Source!AO37+ [44]Source!AN37)/100*([44]Source!AT37+[44]Source!AU37)+[44]Source!AK37,2)</f>
        <v>1327.39</v>
      </c>
      <c r="H191" s="489">
        <f>ROUND([44]Source!DY37,2)</f>
        <v>199.11</v>
      </c>
      <c r="I191" s="489"/>
      <c r="J191" s="489"/>
      <c r="K191" s="489">
        <f>ROUND([44]Source!O37+[44]Source!HB37+[44]Source!X37+[44]Source!Y37,2)</f>
        <v>199.12</v>
      </c>
      <c r="L191" s="489">
        <f>ROUND([44]Source!U37,2)</f>
        <v>2.3199999999999998</v>
      </c>
    </row>
    <row r="192" spans="1:12" x14ac:dyDescent="0.25">
      <c r="A192" s="490"/>
      <c r="B192" s="490" t="str">
        <f>[44]SmtRes!I85</f>
        <v>1-2040-69</v>
      </c>
      <c r="C192" s="490" t="str">
        <f>[44]SmtRes!K85</f>
        <v>Рабочий монтажник среднего разряда 4</v>
      </c>
      <c r="D192" s="490" t="str">
        <f>[44]SmtRes!O85</f>
        <v>чел.-ч</v>
      </c>
      <c r="E192" s="490">
        <f>[44]SmtRes!Y85*[44]Source!I37</f>
        <v>2.3159999999999998</v>
      </c>
      <c r="F192" s="490">
        <f>[44]SmtRes!AU85</f>
        <v>0</v>
      </c>
      <c r="G192" s="490">
        <f>ROUND(([44]SmtRes!AE85+[44]SmtRes!AF85+[44]SmtRes!AH85),2)</f>
        <v>9.2899999999999991</v>
      </c>
      <c r="H192" s="490">
        <f>ROUND(([44]SmtRes!AE85+[44]SmtRes!AF85+[44]SmtRes!AH85)*[44]SmtRes!Y85*[44]Source!I37,2)</f>
        <v>21.52</v>
      </c>
      <c r="I192" s="490" t="str">
        <f>[44]Source!BO37</f>
        <v>м08-02-146-3</v>
      </c>
      <c r="J192" s="490">
        <f>IF([44]SmtRes!H85=1,[44]Source!BA37,IF([44]SmtRes!H85=2,[44]Source!BB37,[44]Source!BC37))</f>
        <v>1</v>
      </c>
      <c r="K192" s="490">
        <f>ROUND(([44]SmtRes!AA85+[44]SmtRes!AB85+[44]SmtRes!AD85)*[44]SmtRes!Y85*[44]Source!I37*J192,2)</f>
        <v>21.52</v>
      </c>
      <c r="L192" s="490"/>
    </row>
    <row r="193" spans="1:12" x14ac:dyDescent="0.25">
      <c r="A193" s="490"/>
      <c r="B193" s="490" t="str">
        <f>[44]SmtRes!I86</f>
        <v>2-69</v>
      </c>
      <c r="C193" s="490" t="str">
        <f>[44]SmtRes!K86</f>
        <v>Затраты труда машинистов</v>
      </c>
      <c r="D193" s="490" t="str">
        <f>[44]SmtRes!O86</f>
        <v>чел.час</v>
      </c>
      <c r="E193" s="490">
        <f>[44]SmtRes!Y86*[44]Source!I37</f>
        <v>0.75</v>
      </c>
      <c r="F193" s="490">
        <f>[44]SmtRes!AU86</f>
        <v>0</v>
      </c>
      <c r="G193" s="490">
        <f>ROUND(([44]SmtRes!AE86+[44]SmtRes!AF86+[44]SmtRes!AH86),2)</f>
        <v>0</v>
      </c>
      <c r="H193" s="490">
        <f>ROUND(([44]SmtRes!AE86+[44]SmtRes!AF86+[44]SmtRes!AH86)*[44]SmtRes!Y86*[44]Source!I37,2)</f>
        <v>0</v>
      </c>
      <c r="I193" s="490" t="str">
        <f>[44]Source!BO37</f>
        <v>м08-02-146-3</v>
      </c>
      <c r="J193" s="490">
        <f>IF([44]SmtRes!H86=1,[44]Source!BA37,IF([44]SmtRes!H86=2,[44]Source!BB37,[44]Source!BC37))</f>
        <v>1</v>
      </c>
      <c r="K193" s="490">
        <f>ROUND(([44]SmtRes!AA86+[44]SmtRes!AB86+[44]SmtRes!AD86)*[44]SmtRes!Y86*[44]Source!I37*J193,2)</f>
        <v>0</v>
      </c>
      <c r="L193" s="490"/>
    </row>
    <row r="194" spans="1:12" ht="28.5" x14ac:dyDescent="0.25">
      <c r="A194" s="490"/>
      <c r="B194" s="490" t="str">
        <f>[44]SmtRes!I87</f>
        <v>021102</v>
      </c>
      <c r="C194" s="490" t="str">
        <f>[44]SmtRes!K87</f>
        <v>Краны на автомобильном ходу при работе на монтаже технологического оборудования 10 т</v>
      </c>
      <c r="D194" s="490" t="str">
        <f>[44]SmtRes!O87</f>
        <v>маш.-ч</v>
      </c>
      <c r="E194" s="490">
        <f>[44]SmtRes!Y87*[44]Source!I37</f>
        <v>0.03</v>
      </c>
      <c r="F194" s="490">
        <f>[44]SmtRes!AU87</f>
        <v>0</v>
      </c>
      <c r="G194" s="490">
        <f>ROUND(([44]SmtRes!AE87+[44]SmtRes!AF87+[44]SmtRes!AH87),2)</f>
        <v>131.11000000000001</v>
      </c>
      <c r="H194" s="490">
        <f>ROUND(([44]SmtRes!AE87+[44]SmtRes!AF87+[44]SmtRes!AH87)*[44]SmtRes!Y87*[44]Source!I37,2)</f>
        <v>3.93</v>
      </c>
      <c r="I194" s="490" t="str">
        <f>[44]Source!BO37</f>
        <v>м08-02-146-3</v>
      </c>
      <c r="J194" s="490">
        <f>IF([44]SmtRes!H87=1,[44]Source!BA37,IF([44]SmtRes!H87=2,[44]Source!BB37,[44]Source!BC37))</f>
        <v>1</v>
      </c>
      <c r="K194" s="490">
        <f>ROUND(([44]SmtRes!AA87+[44]SmtRes!AB87+[44]SmtRes!AD87)*[44]SmtRes!Y87*[44]Source!I37,2)</f>
        <v>21.08</v>
      </c>
      <c r="L194" s="490"/>
    </row>
    <row r="195" spans="1:12" ht="28.5" x14ac:dyDescent="0.25">
      <c r="A195" s="490"/>
      <c r="B195" s="490" t="str">
        <f>[44]SmtRes!I88</f>
        <v>030203</v>
      </c>
      <c r="C195" s="490" t="str">
        <f>[44]SmtRes!K88</f>
        <v>Домкраты гидравлические грузоподъемностью 63-100 т</v>
      </c>
      <c r="D195" s="490" t="str">
        <f>[44]SmtRes!O88</f>
        <v>маш.-ч</v>
      </c>
      <c r="E195" s="490">
        <f>[44]SmtRes!Y88*[44]Source!I37</f>
        <v>0.53849999999999998</v>
      </c>
      <c r="F195" s="490">
        <f>[44]SmtRes!AU88</f>
        <v>0</v>
      </c>
      <c r="G195" s="490">
        <f>ROUND(([44]SmtRes!AE88+[44]SmtRes!AF88+[44]SmtRes!AH88),2)</f>
        <v>2.37</v>
      </c>
      <c r="H195" s="490">
        <f>ROUND(([44]SmtRes!AE88+[44]SmtRes!AF88+[44]SmtRes!AH88)*[44]SmtRes!Y88*[44]Source!I37,2)</f>
        <v>1.28</v>
      </c>
      <c r="I195" s="490" t="str">
        <f>[44]Source!BO37</f>
        <v>м08-02-146-3</v>
      </c>
      <c r="J195" s="490">
        <f>IF([44]SmtRes!H88=1,[44]Source!BA37,IF([44]SmtRes!H88=2,[44]Source!BB37,[44]Source!BC37))</f>
        <v>1</v>
      </c>
      <c r="K195" s="490">
        <f>ROUND(([44]SmtRes!AA88+[44]SmtRes!AB88+[44]SmtRes!AD88)*[44]SmtRes!Y88*[44]Source!I37,2)</f>
        <v>7.32</v>
      </c>
      <c r="L195" s="490"/>
    </row>
    <row r="196" spans="1:12" ht="28.5" x14ac:dyDescent="0.25">
      <c r="A196" s="490"/>
      <c r="B196" s="490" t="str">
        <f>[44]SmtRes!I89</f>
        <v>030402</v>
      </c>
      <c r="C196" s="490" t="str">
        <f>[44]SmtRes!K89</f>
        <v>Лебедки электрические тяговым усилием до 12,26 кН (1,25 т)</v>
      </c>
      <c r="D196" s="490" t="str">
        <f>[44]SmtRes!O89</f>
        <v>маш.-ч</v>
      </c>
      <c r="E196" s="490">
        <f>[44]SmtRes!Y89*[44]Source!I37</f>
        <v>0.53849999999999998</v>
      </c>
      <c r="F196" s="490">
        <f>[44]SmtRes!AU89</f>
        <v>0</v>
      </c>
      <c r="G196" s="490">
        <f>ROUND(([44]SmtRes!AE89+[44]SmtRes!AF89+[44]SmtRes!AH89),2)</f>
        <v>3.28</v>
      </c>
      <c r="H196" s="490">
        <f>ROUND(([44]SmtRes!AE89+[44]SmtRes!AF89+[44]SmtRes!AH89)*[44]SmtRes!Y89*[44]Source!I37,2)</f>
        <v>1.77</v>
      </c>
      <c r="I196" s="490" t="str">
        <f>[44]Source!BO37</f>
        <v>м08-02-146-3</v>
      </c>
      <c r="J196" s="490">
        <f>IF([44]SmtRes!H89=1,[44]Source!BA37,IF([44]SmtRes!H89=2,[44]Source!BB37,[44]Source!BC37))</f>
        <v>1</v>
      </c>
      <c r="K196" s="490">
        <f>ROUND(([44]SmtRes!AA89+[44]SmtRes!AB89+[44]SmtRes!AD89)*[44]SmtRes!Y89*[44]Source!I37,2)</f>
        <v>6.32</v>
      </c>
      <c r="L196" s="490"/>
    </row>
    <row r="197" spans="1:12" x14ac:dyDescent="0.25">
      <c r="A197" s="490"/>
      <c r="B197" s="490" t="str">
        <f>[44]SmtRes!I90</f>
        <v>031050</v>
      </c>
      <c r="C197" s="490" t="str">
        <f>[44]SmtRes!K90</f>
        <v>Вышка телескопическая 25 м</v>
      </c>
      <c r="D197" s="490" t="str">
        <f>[44]SmtRes!O90</f>
        <v>маш.-ч</v>
      </c>
      <c r="E197" s="490">
        <f>[44]SmtRes!Y90*[44]Source!I37</f>
        <v>0.72</v>
      </c>
      <c r="F197" s="490">
        <f>[44]SmtRes!AU90</f>
        <v>0</v>
      </c>
      <c r="G197" s="490">
        <f>ROUND(([44]SmtRes!AE90+[44]SmtRes!AF90+[44]SmtRes!AH90),2)</f>
        <v>150.37</v>
      </c>
      <c r="H197" s="490">
        <f>ROUND(([44]SmtRes!AE90+[44]SmtRes!AF90+[44]SmtRes!AH90)*[44]SmtRes!Y90*[44]Source!I37,2)</f>
        <v>108.27</v>
      </c>
      <c r="I197" s="490" t="str">
        <f>[44]Source!BO37</f>
        <v>м08-02-146-3</v>
      </c>
      <c r="J197" s="490">
        <f>IF([44]SmtRes!H90=1,[44]Source!BA37,IF([44]SmtRes!H90=2,[44]Source!BB37,[44]Source!BC37))</f>
        <v>1</v>
      </c>
      <c r="K197" s="490">
        <f>ROUND(([44]SmtRes!AA90+[44]SmtRes!AB90+[44]SmtRes!AD90)*[44]SmtRes!Y90*[44]Source!I37,2)</f>
        <v>492.61</v>
      </c>
      <c r="L197" s="490"/>
    </row>
    <row r="198" spans="1:12" x14ac:dyDescent="0.25">
      <c r="A198" s="490"/>
      <c r="B198" s="490" t="str">
        <f>[44]SmtRes!I91</f>
        <v>400001</v>
      </c>
      <c r="C198" s="490" t="str">
        <f>[44]SmtRes!K91</f>
        <v>Автомобили бортовые, грузоподъемность до 5 т</v>
      </c>
      <c r="D198" s="490" t="str">
        <f>[44]SmtRes!O91</f>
        <v>маш.-ч</v>
      </c>
      <c r="E198" s="490">
        <f>[44]SmtRes!Y91*[44]Source!I37</f>
        <v>0.03</v>
      </c>
      <c r="F198" s="490">
        <f>[44]SmtRes!AU91</f>
        <v>0</v>
      </c>
      <c r="G198" s="490">
        <f>ROUND(([44]SmtRes!AE91+[44]SmtRes!AF91+[44]SmtRes!AH91),2)</f>
        <v>91.62</v>
      </c>
      <c r="H198" s="490">
        <f>ROUND(([44]SmtRes!AE91+[44]SmtRes!AF91+[44]SmtRes!AH91)*[44]SmtRes!Y91*[44]Source!I37,2)</f>
        <v>2.75</v>
      </c>
      <c r="I198" s="490" t="str">
        <f>[44]Source!BO37</f>
        <v>м08-02-146-3</v>
      </c>
      <c r="J198" s="490">
        <f>IF([44]SmtRes!H91=1,[44]Source!BA37,IF([44]SmtRes!H91=2,[44]Source!BB37,[44]Source!BC37))</f>
        <v>1</v>
      </c>
      <c r="K198" s="490">
        <f>ROUND(([44]SmtRes!AA91+[44]SmtRes!AB91+[44]SmtRes!AD91)*[44]SmtRes!Y91*[44]Source!I37,2)</f>
        <v>22.15</v>
      </c>
      <c r="L198" s="490"/>
    </row>
    <row r="199" spans="1:12" x14ac:dyDescent="0.25">
      <c r="A199" s="490"/>
      <c r="B199" s="490" t="str">
        <f>[44]SmtRes!I92</f>
        <v>101-2478</v>
      </c>
      <c r="C199" s="490" t="str">
        <f>[44]SmtRes!K92</f>
        <v>Лента К226</v>
      </c>
      <c r="D199" s="490" t="str">
        <f>[44]SmtRes!O92</f>
        <v>100 м</v>
      </c>
      <c r="E199" s="490">
        <f>[44]SmtRes!Y92*[44]Source!I37</f>
        <v>3.6749999999999999E-3</v>
      </c>
      <c r="F199" s="490">
        <f>[44]SmtRes!AU92</f>
        <v>0</v>
      </c>
      <c r="G199" s="490">
        <f>ROUND(([44]SmtRes!AE92+[44]SmtRes!AF92+[44]SmtRes!AH92),2)</f>
        <v>120</v>
      </c>
      <c r="H199" s="490">
        <f>ROUND(([44]SmtRes!AE92+[44]SmtRes!AF92+[44]SmtRes!AH92)*[44]SmtRes!Y92*[44]Source!I37,2)</f>
        <v>0.44</v>
      </c>
      <c r="I199" s="490" t="str">
        <f>[44]Source!BO37</f>
        <v>м08-02-146-3</v>
      </c>
      <c r="J199" s="490">
        <f>IF([44]SmtRes!H92=1,[44]Source!BA37,IF([44]SmtRes!H92=2,[44]Source!BB37,[44]Source!BC37))</f>
        <v>1</v>
      </c>
      <c r="K199" s="490">
        <f>ROUND(([44]SmtRes!AE92+[44]SmtRes!AF92+[44]SmtRes!AH92)*[44]SmtRes!Y92*[44]Source!I37*J199,2)</f>
        <v>0.44</v>
      </c>
      <c r="L199" s="490"/>
    </row>
    <row r="200" spans="1:12" x14ac:dyDescent="0.25">
      <c r="A200" s="490"/>
      <c r="B200" s="490" t="str">
        <f>[44]SmtRes!I93</f>
        <v>113-1786</v>
      </c>
      <c r="C200" s="490" t="str">
        <f>[44]SmtRes!K93</f>
        <v>Лак битумный БТ-123</v>
      </c>
      <c r="D200" s="490" t="str">
        <f>[44]SmtRes!O93</f>
        <v>т</v>
      </c>
      <c r="E200" s="490">
        <f>[44]SmtRes!Y93*[44]Source!I37</f>
        <v>4.3200000000000004E-4</v>
      </c>
      <c r="F200" s="490">
        <f>[44]SmtRes!AU93</f>
        <v>0</v>
      </c>
      <c r="G200" s="490">
        <f>ROUND(([44]SmtRes!AE93+[44]SmtRes!AF93+[44]SmtRes!AH93),2)</f>
        <v>8461.6299999999992</v>
      </c>
      <c r="H200" s="490">
        <f>ROUND(([44]SmtRes!AE93+[44]SmtRes!AF93+[44]SmtRes!AH93)*[44]SmtRes!Y93*[44]Source!I37,2)</f>
        <v>3.66</v>
      </c>
      <c r="I200" s="490" t="str">
        <f>[44]Source!BO37</f>
        <v>м08-02-146-3</v>
      </c>
      <c r="J200" s="490">
        <f>IF([44]SmtRes!H93=1,[44]Source!BA37,IF([44]SmtRes!H93=2,[44]Source!BB37,[44]Source!BC37))</f>
        <v>1</v>
      </c>
      <c r="K200" s="490">
        <f>ROUND(([44]SmtRes!AE93+[44]SmtRes!AF93+[44]SmtRes!AH93)*[44]SmtRes!Y93*[44]Source!I37*J200,2)</f>
        <v>3.66</v>
      </c>
      <c r="L200" s="490"/>
    </row>
    <row r="201" spans="1:12" ht="28.5" x14ac:dyDescent="0.25">
      <c r="A201" s="490"/>
      <c r="B201" s="490" t="str">
        <f>[44]SmtRes!I94</f>
        <v>506-1362</v>
      </c>
      <c r="C201" s="490" t="str">
        <f>[44]SmtRes!K94</f>
        <v>Припои оловянно-свинцовые бессурьмянистые марки ПОС30</v>
      </c>
      <c r="D201" s="490" t="str">
        <f>[44]SmtRes!O94</f>
        <v>кг</v>
      </c>
      <c r="E201" s="490">
        <f>[44]SmtRes!Y94*[44]Source!I37</f>
        <v>7.4999999999999997E-2</v>
      </c>
      <c r="F201" s="490">
        <f>[44]SmtRes!AU94</f>
        <v>0</v>
      </c>
      <c r="G201" s="490">
        <f>ROUND(([44]SmtRes!AE94+[44]SmtRes!AF94+[44]SmtRes!AH94),2)</f>
        <v>66.84</v>
      </c>
      <c r="H201" s="490">
        <f>ROUND(([44]SmtRes!AE94+[44]SmtRes!AF94+[44]SmtRes!AH94)*[44]SmtRes!Y94*[44]Source!I37,2)</f>
        <v>5.01</v>
      </c>
      <c r="I201" s="490" t="str">
        <f>[44]Source!BO37</f>
        <v>м08-02-146-3</v>
      </c>
      <c r="J201" s="490">
        <f>IF([44]SmtRes!H94=1,[44]Source!BA37,IF([44]SmtRes!H94=2,[44]Source!BB37,[44]Source!BC37))</f>
        <v>1</v>
      </c>
      <c r="K201" s="490">
        <f>ROUND(([44]SmtRes!AE94+[44]SmtRes!AF94+[44]SmtRes!AH94)*[44]SmtRes!Y94*[44]Source!I37*J201,2)</f>
        <v>5.01</v>
      </c>
      <c r="L201" s="490"/>
    </row>
    <row r="202" spans="1:12" ht="28.5" x14ac:dyDescent="0.25">
      <c r="A202" s="490"/>
      <c r="B202" s="490" t="str">
        <f>[44]SmtRes!I95</f>
        <v>999-9950</v>
      </c>
      <c r="C202" s="490" t="str">
        <f>[44]SmtRes!K95</f>
        <v>Вспомогательные ненормируемые материалы (2% от ОЗП)</v>
      </c>
      <c r="D202" s="490" t="str">
        <f>[44]SmtRes!O95</f>
        <v>руб.</v>
      </c>
      <c r="E202" s="490">
        <f>[44]SmtRes!Y95*[44]Source!I37</f>
        <v>0.44550000000000001</v>
      </c>
      <c r="F202" s="490">
        <f>[44]SmtRes!AU95</f>
        <v>0</v>
      </c>
      <c r="G202" s="490">
        <f>ROUND(([44]SmtRes!AE95+[44]SmtRes!AF95+[44]SmtRes!AH95),2)</f>
        <v>1</v>
      </c>
      <c r="H202" s="490">
        <f>ROUND(([44]SmtRes!AE95+[44]SmtRes!AF95+[44]SmtRes!AH95)*[44]SmtRes!Y95*[44]Source!I37,2)</f>
        <v>0.45</v>
      </c>
      <c r="I202" s="490" t="str">
        <f>[44]Source!BO37</f>
        <v>м08-02-146-3</v>
      </c>
      <c r="J202" s="490">
        <f>IF([44]SmtRes!H95=1,[44]Source!BA37,IF([44]SmtRes!H95=2,[44]Source!BB37,[44]Source!BC37))</f>
        <v>1</v>
      </c>
      <c r="K202" s="490">
        <f>ROUND(([44]SmtRes!AE95+[44]SmtRes!AF95+[44]SmtRes!AH95)*[44]SmtRes!Y95*[44]Source!I37*J202,2)</f>
        <v>0.45</v>
      </c>
      <c r="L202" s="490"/>
    </row>
    <row r="203" spans="1:12" x14ac:dyDescent="0.25">
      <c r="A203" s="497"/>
      <c r="L203" s="498"/>
    </row>
    <row r="204" spans="1:12" ht="15" x14ac:dyDescent="0.25">
      <c r="A204" s="499"/>
      <c r="B204" s="500" t="s">
        <v>338</v>
      </c>
      <c r="C204" s="461"/>
      <c r="D204" s="461"/>
      <c r="E204" s="461"/>
      <c r="F204" s="461"/>
      <c r="G204" s="461"/>
      <c r="H204" s="461"/>
      <c r="I204" s="461"/>
      <c r="J204" s="461"/>
      <c r="K204" s="461"/>
      <c r="L204" s="501"/>
    </row>
    <row r="205" spans="1:12" ht="15" x14ac:dyDescent="0.25">
      <c r="A205" s="502"/>
      <c r="B205" s="503"/>
      <c r="L205" s="475"/>
    </row>
    <row r="206" spans="1:12" s="506" customFormat="1" ht="16.5" x14ac:dyDescent="0.25">
      <c r="A206" s="504"/>
      <c r="B206" s="505" t="str">
        <f>[44]Source!H41</f>
        <v>Прямые затраты</v>
      </c>
      <c r="C206" s="505"/>
      <c r="D206" s="505"/>
      <c r="E206" s="505"/>
      <c r="F206" s="505"/>
      <c r="G206" s="505"/>
      <c r="H206" s="505"/>
      <c r="I206" s="505"/>
      <c r="J206" s="505"/>
      <c r="K206" s="816">
        <f>ROUND([44]Source!F41,2)</f>
        <v>383116.91</v>
      </c>
      <c r="L206" s="817"/>
    </row>
    <row r="207" spans="1:12" s="506" customFormat="1" ht="16.5" x14ac:dyDescent="0.25">
      <c r="A207" s="504"/>
      <c r="B207" s="505" t="str">
        <f>[44]Source!H42</f>
        <v>Стоимость материальных ресурсов (всего)</v>
      </c>
      <c r="C207" s="505"/>
      <c r="D207" s="505"/>
      <c r="E207" s="505"/>
      <c r="F207" s="505"/>
      <c r="G207" s="505"/>
      <c r="H207" s="505"/>
      <c r="I207" s="505"/>
      <c r="J207" s="505"/>
      <c r="K207" s="816">
        <f>ROUND([44]Source!F42,2)</f>
        <v>50121.71</v>
      </c>
      <c r="L207" s="817"/>
    </row>
    <row r="208" spans="1:12" s="506" customFormat="1" ht="16.5" x14ac:dyDescent="0.25">
      <c r="A208" s="504"/>
      <c r="B208" s="505" t="str">
        <f>[44]Source!H51</f>
        <v>Эксплуатация машин</v>
      </c>
      <c r="C208" s="505"/>
      <c r="D208" s="505"/>
      <c r="E208" s="505"/>
      <c r="F208" s="505"/>
      <c r="G208" s="505"/>
      <c r="H208" s="505"/>
      <c r="I208" s="505"/>
      <c r="J208" s="505"/>
      <c r="K208" s="816">
        <f>ROUND([44]Source!F51,2)</f>
        <v>330680.93</v>
      </c>
      <c r="L208" s="817"/>
    </row>
    <row r="209" spans="1:12" s="506" customFormat="1" ht="16.5" x14ac:dyDescent="0.25">
      <c r="A209" s="504"/>
      <c r="B209" s="505" t="str">
        <f>[44]Source!H53</f>
        <v>ЗП машинистов</v>
      </c>
      <c r="C209" s="505"/>
      <c r="D209" s="505"/>
      <c r="E209" s="505"/>
      <c r="F209" s="505"/>
      <c r="G209" s="505"/>
      <c r="H209" s="505"/>
      <c r="I209" s="505"/>
      <c r="J209" s="505"/>
      <c r="K209" s="816">
        <f>ROUND([44]Source!F53,2)</f>
        <v>15801.59</v>
      </c>
      <c r="L209" s="817"/>
    </row>
    <row r="210" spans="1:12" s="506" customFormat="1" ht="16.5" x14ac:dyDescent="0.25">
      <c r="A210" s="504"/>
      <c r="B210" s="505" t="str">
        <f>[44]Source!H54</f>
        <v>Основная ЗП рабочих</v>
      </c>
      <c r="C210" s="505"/>
      <c r="D210" s="505"/>
      <c r="E210" s="505"/>
      <c r="F210" s="505"/>
      <c r="G210" s="505"/>
      <c r="H210" s="505"/>
      <c r="I210" s="505"/>
      <c r="J210" s="505"/>
      <c r="K210" s="816">
        <f>ROUND([44]Source!F54,2)</f>
        <v>2314.27</v>
      </c>
      <c r="L210" s="817"/>
    </row>
    <row r="211" spans="1:12" s="506" customFormat="1" ht="16.5" x14ac:dyDescent="0.25">
      <c r="A211" s="504"/>
      <c r="B211" s="505" t="str">
        <f>[44]Source!H56</f>
        <v>Строительные работы с НР и СП</v>
      </c>
      <c r="C211" s="505"/>
      <c r="D211" s="505"/>
      <c r="E211" s="505"/>
      <c r="F211" s="505"/>
      <c r="G211" s="505"/>
      <c r="H211" s="505"/>
      <c r="I211" s="505"/>
      <c r="J211" s="505"/>
      <c r="K211" s="816">
        <f>ROUND([44]Source!F56,2)</f>
        <v>405137.03</v>
      </c>
      <c r="L211" s="817"/>
    </row>
    <row r="212" spans="1:12" s="506" customFormat="1" ht="16.5" x14ac:dyDescent="0.25">
      <c r="A212" s="504"/>
      <c r="B212" s="505" t="str">
        <f>[44]Source!H57</f>
        <v>Монтажные работы с НР и СП</v>
      </c>
      <c r="C212" s="505"/>
      <c r="D212" s="505"/>
      <c r="E212" s="505"/>
      <c r="F212" s="505"/>
      <c r="G212" s="505"/>
      <c r="H212" s="505"/>
      <c r="I212" s="505"/>
      <c r="J212" s="505"/>
      <c r="K212" s="816">
        <f>ROUND([44]Source!F57,2)</f>
        <v>3082.61</v>
      </c>
      <c r="L212" s="817"/>
    </row>
    <row r="213" spans="1:12" s="506" customFormat="1" ht="16.5" x14ac:dyDescent="0.25">
      <c r="A213" s="504"/>
      <c r="B213" s="505" t="str">
        <f>[44]Source!H61</f>
        <v>Трудозатраты строителей</v>
      </c>
      <c r="C213" s="505"/>
      <c r="D213" s="505"/>
      <c r="E213" s="505"/>
      <c r="F213" s="505"/>
      <c r="G213" s="505"/>
      <c r="H213" s="505"/>
      <c r="I213" s="505"/>
      <c r="J213" s="505"/>
      <c r="K213" s="816">
        <f>ROUND([44]Source!F61,2)</f>
        <v>253.68</v>
      </c>
      <c r="L213" s="817"/>
    </row>
    <row r="214" spans="1:12" s="506" customFormat="1" ht="16.5" x14ac:dyDescent="0.25">
      <c r="A214" s="504"/>
      <c r="B214" s="505" t="str">
        <f>[44]Source!H62</f>
        <v>Трудозатраты машинистов</v>
      </c>
      <c r="C214" s="505"/>
      <c r="D214" s="505"/>
      <c r="E214" s="505"/>
      <c r="F214" s="505"/>
      <c r="G214" s="505"/>
      <c r="H214" s="505"/>
      <c r="I214" s="505"/>
      <c r="J214" s="505"/>
      <c r="K214" s="816">
        <f>ROUND([44]Source!F62,2)</f>
        <v>1346.27</v>
      </c>
      <c r="L214" s="817"/>
    </row>
    <row r="215" spans="1:12" s="506" customFormat="1" ht="16.5" x14ac:dyDescent="0.25">
      <c r="A215" s="504"/>
      <c r="B215" s="505" t="str">
        <f>[44]Source!H64</f>
        <v>Накладные расходы</v>
      </c>
      <c r="C215" s="505"/>
      <c r="D215" s="505"/>
      <c r="E215" s="505"/>
      <c r="F215" s="505"/>
      <c r="G215" s="505"/>
      <c r="H215" s="505"/>
      <c r="I215" s="505"/>
      <c r="J215" s="505"/>
      <c r="K215" s="816">
        <f>ROUND([44]Source!F64,2)</f>
        <v>15542.85</v>
      </c>
      <c r="L215" s="817"/>
    </row>
    <row r="216" spans="1:12" s="506" customFormat="1" ht="16.5" x14ac:dyDescent="0.25">
      <c r="A216" s="504"/>
      <c r="B216" s="505" t="str">
        <f>[44]Source!H65</f>
        <v>Сметная прибыль</v>
      </c>
      <c r="C216" s="505"/>
      <c r="D216" s="505"/>
      <c r="E216" s="505"/>
      <c r="F216" s="505"/>
      <c r="G216" s="505"/>
      <c r="H216" s="505"/>
      <c r="I216" s="505"/>
      <c r="J216" s="505"/>
      <c r="K216" s="816">
        <f>ROUND([44]Source!F65,2)</f>
        <v>9559.8799999999992</v>
      </c>
      <c r="L216" s="817"/>
    </row>
    <row r="217" spans="1:12" s="506" customFormat="1" ht="16.5" x14ac:dyDescent="0.25">
      <c r="A217" s="504"/>
      <c r="B217" s="505" t="str">
        <f>[44]Source!H66</f>
        <v>Всего с НР и СП</v>
      </c>
      <c r="C217" s="505"/>
      <c r="D217" s="505"/>
      <c r="E217" s="505"/>
      <c r="F217" s="505"/>
      <c r="G217" s="505"/>
      <c r="H217" s="505"/>
      <c r="I217" s="505"/>
      <c r="J217" s="505"/>
      <c r="K217" s="816">
        <f>ROUND([44]Source!F66,2)</f>
        <v>408219.64</v>
      </c>
      <c r="L217" s="817"/>
    </row>
    <row r="218" spans="1:12" s="506" customFormat="1" ht="16.5" x14ac:dyDescent="0.25">
      <c r="A218" s="504"/>
      <c r="B218" s="505" t="str">
        <f>[44]Source!H67</f>
        <v>Итого</v>
      </c>
      <c r="C218" s="505"/>
      <c r="D218" s="505"/>
      <c r="E218" s="505"/>
      <c r="F218" s="505"/>
      <c r="G218" s="505"/>
      <c r="H218" s="505"/>
      <c r="I218" s="505"/>
      <c r="J218" s="505"/>
      <c r="K218" s="816">
        <f>ROUND([44]Source!F67,2)</f>
        <v>408219.64</v>
      </c>
      <c r="L218" s="817"/>
    </row>
    <row r="219" spans="1:12" x14ac:dyDescent="0.25">
      <c r="A219" s="474"/>
      <c r="L219" s="475"/>
    </row>
    <row r="220" spans="1:12" s="472" customFormat="1" ht="15" x14ac:dyDescent="0.25">
      <c r="A220" s="821" t="s">
        <v>330</v>
      </c>
      <c r="B220" s="822"/>
      <c r="C220" s="471" t="str">
        <f>[44]Source!G69</f>
        <v>Материалы не учтенные ценником</v>
      </c>
      <c r="I220" s="472" t="s">
        <v>339</v>
      </c>
      <c r="L220" s="507"/>
    </row>
    <row r="221" spans="1:12" ht="6" customHeight="1" x14ac:dyDescent="0.25">
      <c r="A221" s="474"/>
      <c r="L221" s="475"/>
    </row>
    <row r="222" spans="1:12" s="512" customFormat="1" x14ac:dyDescent="0.25">
      <c r="A222" s="508" t="str">
        <f>[44]Source!E73</f>
        <v>11</v>
      </c>
      <c r="B222" s="509" t="str">
        <f>CONCATENATE([44]Source!F73,"                       ", [44]Source!EO73)</f>
        <v xml:space="preserve">2122932                       </v>
      </c>
      <c r="C222" s="509" t="str">
        <f>[44]Source!G73</f>
        <v>Стойка СВ 110-5</v>
      </c>
      <c r="D222" s="509" t="str">
        <f>[44]Source!H73</f>
        <v>шт.</v>
      </c>
      <c r="E222" s="508">
        <v>2</v>
      </c>
      <c r="F222" s="510" t="str">
        <f>IF([44]Source!DD73="","-",[44]Source!DD73)</f>
        <v>)/4,98</v>
      </c>
      <c r="G222" s="508">
        <f>ROUND([44]Source!AB73+[44]Source!HA73,3)</f>
        <v>2361.4499999999998</v>
      </c>
      <c r="H222" s="508">
        <f>ROUND(([44]Source!AB73+[44]Source!HA73)*[44]Source!I73,3)</f>
        <v>4722.8999999999996</v>
      </c>
      <c r="I222" s="511">
        <f>G222*4.98</f>
        <v>11760.021000000001</v>
      </c>
      <c r="J222" s="508">
        <v>1</v>
      </c>
      <c r="K222" s="508">
        <f>ROUND([44]Source!O73,2)</f>
        <v>4722.8999999999996</v>
      </c>
      <c r="L222" s="508"/>
    </row>
    <row r="223" spans="1:12" s="512" customFormat="1" x14ac:dyDescent="0.25">
      <c r="A223" s="508" t="str">
        <f>[44]Source!E74</f>
        <v>12</v>
      </c>
      <c r="B223" s="509" t="str">
        <f>CONCATENATE([44]Source!F74,"                       ", [44]Source!EO74)</f>
        <v xml:space="preserve">2224548                       </v>
      </c>
      <c r="C223" s="509" t="str">
        <f>[44]Source!G74</f>
        <v>Изолятор подвесной ПС-70</v>
      </c>
      <c r="D223" s="509" t="str">
        <f>[44]Source!H74</f>
        <v>шт.</v>
      </c>
      <c r="E223" s="508">
        <v>12</v>
      </c>
      <c r="F223" s="510" t="str">
        <f>IF([44]Source!DD74="","-",[44]Source!DD74)</f>
        <v>)/4,98</v>
      </c>
      <c r="G223" s="508">
        <f>ROUND([44]Source!AB74+[44]Source!HA74,3)</f>
        <v>118.88</v>
      </c>
      <c r="H223" s="508">
        <f>ROUND(([44]Source!AB74+[44]Source!HA74)*[44]Source!I74,3)</f>
        <v>1426.56</v>
      </c>
      <c r="I223" s="511">
        <f t="shared" ref="I223:I229" si="0">G223*4.98</f>
        <v>592.02240000000006</v>
      </c>
      <c r="J223" s="508">
        <v>1</v>
      </c>
      <c r="K223" s="508">
        <f>ROUND([44]Source!O74,2)</f>
        <v>1426.56</v>
      </c>
      <c r="L223" s="508"/>
    </row>
    <row r="224" spans="1:12" s="512" customFormat="1" x14ac:dyDescent="0.25">
      <c r="A224" s="508" t="str">
        <f>[44]Source!E75</f>
        <v>13</v>
      </c>
      <c r="B224" s="509" t="str">
        <f>CONCATENATE([44]Source!F75,"                       ", [44]Source!EO75)</f>
        <v xml:space="preserve">2042600                       </v>
      </c>
      <c r="C224" s="509" t="str">
        <f>[44]Source!G75</f>
        <v>Серьга специальная СРС-7-17</v>
      </c>
      <c r="D224" s="509" t="str">
        <f>[44]Source!H75</f>
        <v>шт.</v>
      </c>
      <c r="E224" s="508">
        <v>6</v>
      </c>
      <c r="F224" s="510" t="str">
        <f>IF([44]Source!DD75="","-",[44]Source!DD75)</f>
        <v>)/4,98</v>
      </c>
      <c r="G224" s="508">
        <f>ROUND([44]Source!AB75+[44]Source!HA75,3)</f>
        <v>26.56</v>
      </c>
      <c r="H224" s="508">
        <f>ROUND(([44]Source!AB75+[44]Source!HA75)*[44]Source!I75,3)</f>
        <v>159.36000000000001</v>
      </c>
      <c r="I224" s="511">
        <f t="shared" si="0"/>
        <v>132.2688</v>
      </c>
      <c r="J224" s="508">
        <v>1</v>
      </c>
      <c r="K224" s="508">
        <f>ROUND([44]Source!O75,2)</f>
        <v>159.36000000000001</v>
      </c>
      <c r="L224" s="508"/>
    </row>
    <row r="225" spans="1:12" s="512" customFormat="1" x14ac:dyDescent="0.25">
      <c r="A225" s="508" t="str">
        <f>[44]Source!E76</f>
        <v>14</v>
      </c>
      <c r="B225" s="509" t="str">
        <f>CONCATENATE([44]Source!F76,"                       ", [44]Source!EO76)</f>
        <v xml:space="preserve">2114882                       </v>
      </c>
      <c r="C225" s="509" t="str">
        <f>[44]Source!G76</f>
        <v>Ушко однолапчатое У1-7-16</v>
      </c>
      <c r="D225" s="509" t="str">
        <f>[44]Source!H76</f>
        <v>шт.</v>
      </c>
      <c r="E225" s="508">
        <v>6</v>
      </c>
      <c r="F225" s="510" t="str">
        <f>IF([44]Source!DD76="","-",[44]Source!DD76)</f>
        <v>)/4,98</v>
      </c>
      <c r="G225" s="508">
        <f>ROUND([44]Source!AB76+[44]Source!HA76,3)</f>
        <v>53.39</v>
      </c>
      <c r="H225" s="508">
        <f>ROUND(([44]Source!AB76+[44]Source!HA76)*[44]Source!I76,3)</f>
        <v>320.33999999999997</v>
      </c>
      <c r="I225" s="511">
        <f t="shared" si="0"/>
        <v>265.88220000000001</v>
      </c>
      <c r="J225" s="508">
        <v>1</v>
      </c>
      <c r="K225" s="508">
        <f>ROUND([44]Source!O76,2)</f>
        <v>320.33999999999997</v>
      </c>
      <c r="L225" s="508"/>
    </row>
    <row r="226" spans="1:12" s="512" customFormat="1" x14ac:dyDescent="0.25">
      <c r="A226" s="508" t="str">
        <f>[44]Source!E77</f>
        <v>15</v>
      </c>
      <c r="B226" s="509" t="str">
        <f>CONCATENATE([44]Source!F77,"                       ", [44]Source!EO77)</f>
        <v xml:space="preserve">2113174                       </v>
      </c>
      <c r="C226" s="509" t="str">
        <f>[44]Source!G77</f>
        <v>Зажим плашечный ПС-2-1</v>
      </c>
      <c r="D226" s="509" t="str">
        <f>[44]Source!H77</f>
        <v>шт.</v>
      </c>
      <c r="E226" s="508">
        <v>6</v>
      </c>
      <c r="F226" s="510" t="str">
        <f>IF([44]Source!DD77="","-",[44]Source!DD77)</f>
        <v>)/4,98</v>
      </c>
      <c r="G226" s="508">
        <f>ROUND([44]Source!AB77+[44]Source!HA77,3)</f>
        <v>18.079999999999998</v>
      </c>
      <c r="H226" s="508">
        <f>ROUND(([44]Source!AB77+[44]Source!HA77)*[44]Source!I77,3)</f>
        <v>108.48</v>
      </c>
      <c r="I226" s="511">
        <f t="shared" si="0"/>
        <v>90.038399999999996</v>
      </c>
      <c r="J226" s="508">
        <v>1</v>
      </c>
      <c r="K226" s="508">
        <f>ROUND([44]Source!O77,2)</f>
        <v>108.48</v>
      </c>
      <c r="L226" s="508"/>
    </row>
    <row r="227" spans="1:12" s="512" customFormat="1" x14ac:dyDescent="0.25">
      <c r="A227" s="508" t="str">
        <f>[44]Source!E78</f>
        <v>16</v>
      </c>
      <c r="B227" s="509" t="str">
        <f>CONCATENATE([44]Source!F78,"                       ", [44]Source!EO78)</f>
        <v xml:space="preserve">2104010                       </v>
      </c>
      <c r="C227" s="509" t="str">
        <f>[44]Source!G78</f>
        <v>Провод СИП 3-1х50</v>
      </c>
      <c r="D227" s="509" t="str">
        <f>[44]Source!H78</f>
        <v>м</v>
      </c>
      <c r="E227" s="508">
        <v>15</v>
      </c>
      <c r="F227" s="510" t="str">
        <f>IF([44]Source!DD78="","-",[44]Source!DD78)</f>
        <v>)/4,98</v>
      </c>
      <c r="G227" s="508">
        <f>ROUND([44]Source!AB78+[44]Source!HA78,3)</f>
        <v>16.5</v>
      </c>
      <c r="H227" s="508">
        <f>ROUND(([44]Source!AB78+[44]Source!HA78)*[44]Source!I78,3)</f>
        <v>247.5</v>
      </c>
      <c r="I227" s="511">
        <f t="shared" si="0"/>
        <v>82.17</v>
      </c>
      <c r="J227" s="508">
        <v>1</v>
      </c>
      <c r="K227" s="508">
        <f>ROUND([44]Source!O78,2)</f>
        <v>247.5</v>
      </c>
      <c r="L227" s="508"/>
    </row>
    <row r="228" spans="1:12" s="512" customFormat="1" ht="28.5" x14ac:dyDescent="0.25">
      <c r="A228" s="508" t="str">
        <f>[44]Source!E79</f>
        <v>17</v>
      </c>
      <c r="B228" s="509" t="str">
        <f>CONCATENATE([44]Source!F79,"                       ", [44]Source!EO79)</f>
        <v xml:space="preserve">                       </v>
      </c>
      <c r="C228" s="509" t="str">
        <f>[44]Source!G79</f>
        <v>Трубы полиэтиленовые низкого давления ПНД 400мм</v>
      </c>
      <c r="D228" s="509" t="str">
        <f>[44]Source!H79</f>
        <v>м</v>
      </c>
      <c r="E228" s="508">
        <v>368</v>
      </c>
      <c r="F228" s="510" t="str">
        <f>IF([44]Source!DD79="","-",[44]Source!DD79)</f>
        <v>)/4,98</v>
      </c>
      <c r="G228" s="508">
        <f>ROUND([44]Source!AB79+[44]Source!HA79,3)</f>
        <v>102.01</v>
      </c>
      <c r="H228" s="508">
        <f>ROUND(([44]Source!AB79+[44]Source!HA79)*[44]Source!I79,3)</f>
        <v>37539.68</v>
      </c>
      <c r="I228" s="511">
        <f t="shared" si="0"/>
        <v>508.00980000000004</v>
      </c>
      <c r="J228" s="508">
        <v>1</v>
      </c>
      <c r="K228" s="508">
        <f>ROUND([44]Source!O79,2)</f>
        <v>37539.68</v>
      </c>
      <c r="L228" s="508"/>
    </row>
    <row r="229" spans="1:12" s="512" customFormat="1" x14ac:dyDescent="0.25">
      <c r="A229" s="508" t="str">
        <f>[44]Source!E80</f>
        <v>18</v>
      </c>
      <c r="B229" s="509" t="str">
        <f>CONCATENATE([44]Source!F80,"                       ", [44]Source!EO80)</f>
        <v xml:space="preserve">                       </v>
      </c>
      <c r="C229" s="509" t="str">
        <f>[44]Source!G80</f>
        <v>Кабель 240мм2</v>
      </c>
      <c r="D229" s="509" t="str">
        <f>[44]Source!H80</f>
        <v>м</v>
      </c>
      <c r="E229" s="508">
        <v>368</v>
      </c>
      <c r="F229" s="510" t="str">
        <f>IF([44]Source!DD80="","-",[44]Source!DD80)</f>
        <v>)/4,98</v>
      </c>
      <c r="G229" s="508">
        <f>ROUND([44]Source!AB80+[44]Source!HA80,3)</f>
        <v>218.67</v>
      </c>
      <c r="H229" s="508">
        <f>ROUND(([44]Source!AB80+[44]Source!HA80)*[44]Source!I80,3)</f>
        <v>80470.559999999998</v>
      </c>
      <c r="I229" s="511">
        <f t="shared" si="0"/>
        <v>1088.9766</v>
      </c>
      <c r="J229" s="508">
        <v>1</v>
      </c>
      <c r="K229" s="508">
        <f>ROUND([44]Source!O80,2)</f>
        <v>80470.559999999998</v>
      </c>
      <c r="L229" s="508"/>
    </row>
    <row r="230" spans="1:12" x14ac:dyDescent="0.25">
      <c r="A230" s="513"/>
      <c r="L230" s="514"/>
    </row>
    <row r="231" spans="1:12" ht="15" x14ac:dyDescent="0.25">
      <c r="A231" s="499"/>
      <c r="B231" s="500" t="s">
        <v>338</v>
      </c>
      <c r="C231" s="461"/>
      <c r="D231" s="461"/>
      <c r="E231" s="461"/>
      <c r="F231" s="461"/>
      <c r="G231" s="461"/>
      <c r="H231" s="461"/>
      <c r="I231" s="461"/>
      <c r="J231" s="461"/>
      <c r="K231" s="461"/>
      <c r="L231" s="501"/>
    </row>
    <row r="232" spans="1:12" ht="15" x14ac:dyDescent="0.25">
      <c r="A232" s="502"/>
      <c r="B232" s="503"/>
      <c r="L232" s="475"/>
    </row>
    <row r="233" spans="1:12" s="506" customFormat="1" ht="16.5" x14ac:dyDescent="0.25">
      <c r="A233" s="504"/>
      <c r="B233" s="505" t="str">
        <f>[44]Source!H84</f>
        <v>Прямые затраты</v>
      </c>
      <c r="C233" s="505"/>
      <c r="D233" s="505"/>
      <c r="E233" s="505"/>
      <c r="F233" s="505"/>
      <c r="G233" s="505"/>
      <c r="H233" s="505"/>
      <c r="I233" s="505"/>
      <c r="J233" s="505"/>
      <c r="K233" s="816">
        <f>ROUND([44]Source!F84,2)</f>
        <v>124995.38</v>
      </c>
      <c r="L233" s="817"/>
    </row>
    <row r="234" spans="1:12" s="506" customFormat="1" ht="16.5" x14ac:dyDescent="0.25">
      <c r="A234" s="504"/>
      <c r="B234" s="505" t="str">
        <f>[44]Source!H85</f>
        <v>Стоимость материальных ресурсов (всего)</v>
      </c>
      <c r="C234" s="505"/>
      <c r="D234" s="505"/>
      <c r="E234" s="505"/>
      <c r="F234" s="505"/>
      <c r="G234" s="505"/>
      <c r="H234" s="505"/>
      <c r="I234" s="505"/>
      <c r="J234" s="505"/>
      <c r="K234" s="816">
        <f>ROUND([44]Source!F85,2)</f>
        <v>124995.38</v>
      </c>
      <c r="L234" s="817"/>
    </row>
    <row r="235" spans="1:12" s="506" customFormat="1" ht="16.5" x14ac:dyDescent="0.25">
      <c r="A235" s="504"/>
      <c r="B235" s="505" t="str">
        <f>[44]Source!H99</f>
        <v>Строительные работы с НР и СП</v>
      </c>
      <c r="C235" s="505"/>
      <c r="D235" s="505"/>
      <c r="E235" s="505"/>
      <c r="F235" s="505"/>
      <c r="G235" s="505"/>
      <c r="H235" s="505"/>
      <c r="I235" s="505"/>
      <c r="J235" s="505"/>
      <c r="K235" s="816">
        <f>ROUND([44]Source!F99,2)</f>
        <v>124995.38</v>
      </c>
      <c r="L235" s="817"/>
    </row>
    <row r="236" spans="1:12" s="506" customFormat="1" ht="16.5" x14ac:dyDescent="0.25">
      <c r="A236" s="504"/>
      <c r="B236" s="505" t="str">
        <f>[44]Source!H109</f>
        <v>Всего с НР и СП</v>
      </c>
      <c r="C236" s="505"/>
      <c r="D236" s="505"/>
      <c r="E236" s="505"/>
      <c r="F236" s="505"/>
      <c r="G236" s="505"/>
      <c r="H236" s="505"/>
      <c r="I236" s="505"/>
      <c r="J236" s="505"/>
      <c r="K236" s="816">
        <f>ROUND([44]Source!F109,2)</f>
        <v>124995.38</v>
      </c>
      <c r="L236" s="817"/>
    </row>
    <row r="237" spans="1:12" s="506" customFormat="1" ht="16.5" x14ac:dyDescent="0.25">
      <c r="A237" s="504"/>
      <c r="B237" s="505" t="str">
        <f>[44]Source!H110</f>
        <v>Итого</v>
      </c>
      <c r="C237" s="505"/>
      <c r="D237" s="505"/>
      <c r="E237" s="505"/>
      <c r="F237" s="505"/>
      <c r="G237" s="505"/>
      <c r="H237" s="505"/>
      <c r="I237" s="505"/>
      <c r="J237" s="505"/>
      <c r="K237" s="816">
        <f>ROUND([44]Source!F110,2)</f>
        <v>124995.38</v>
      </c>
      <c r="L237" s="817"/>
    </row>
    <row r="238" spans="1:12" s="506" customFormat="1" ht="16.5" hidden="1" x14ac:dyDescent="0.25">
      <c r="A238" s="504"/>
      <c r="B238" s="505" t="str">
        <f>[44]Source!H111</f>
        <v>ТЗР 11%</v>
      </c>
      <c r="C238" s="505"/>
      <c r="D238" s="505"/>
      <c r="E238" s="505"/>
      <c r="F238" s="505"/>
      <c r="G238" s="505"/>
      <c r="H238" s="505"/>
      <c r="I238" s="505"/>
      <c r="J238" s="505"/>
      <c r="K238" s="816">
        <v>0</v>
      </c>
      <c r="L238" s="817"/>
    </row>
    <row r="239" spans="1:12" s="506" customFormat="1" ht="16.5" hidden="1" x14ac:dyDescent="0.25">
      <c r="A239" s="504"/>
      <c r="B239" s="505" t="str">
        <f>[44]Source!H112</f>
        <v>Итого с ТЗР 11%</v>
      </c>
      <c r="C239" s="505"/>
      <c r="D239" s="505"/>
      <c r="E239" s="505"/>
      <c r="F239" s="505"/>
      <c r="G239" s="505"/>
      <c r="H239" s="505"/>
      <c r="I239" s="505"/>
      <c r="J239" s="505"/>
      <c r="K239" s="816">
        <f>ROUND([44]Source!F112,2)</f>
        <v>124995.38</v>
      </c>
      <c r="L239" s="817"/>
    </row>
    <row r="240" spans="1:12" x14ac:dyDescent="0.25">
      <c r="A240" s="474"/>
      <c r="L240" s="475"/>
    </row>
    <row r="241" spans="1:12" s="472" customFormat="1" ht="15" x14ac:dyDescent="0.25">
      <c r="A241" s="821" t="s">
        <v>330</v>
      </c>
      <c r="B241" s="822"/>
      <c r="C241" s="471" t="str">
        <f>[44]Source!G114</f>
        <v>Пусконаладочные работы</v>
      </c>
      <c r="L241" s="507"/>
    </row>
    <row r="242" spans="1:12" ht="6" customHeight="1" x14ac:dyDescent="0.25">
      <c r="A242" s="474"/>
      <c r="L242" s="475"/>
    </row>
    <row r="243" spans="1:12" s="481" customFormat="1" ht="42.75" x14ac:dyDescent="0.25">
      <c r="A243" s="476" t="str">
        <f>[44]Source!E118</f>
        <v>19</v>
      </c>
      <c r="B243" s="477" t="str">
        <f>CONCATENATE([44]Source!F118,"                       ", [44]Source!EO118)</f>
        <v xml:space="preserve">п01-11-011-1                       </v>
      </c>
      <c r="C243" s="478" t="str">
        <f>[44]Source!G118</f>
        <v>Проверка наличия цепи между заземлителями и заземленными элементами</v>
      </c>
      <c r="D243" s="479" t="str">
        <f>[44]Source!H118</f>
        <v>100точек</v>
      </c>
      <c r="E243" s="480">
        <v>0.04</v>
      </c>
      <c r="F243" s="480"/>
      <c r="G243" s="480">
        <f>ROUND([44]Source!AB118+[44]Source!HA118,3)</f>
        <v>197.76</v>
      </c>
      <c r="H243" s="480">
        <f>ROUND(([44]Source!AB118+[44]Source!HA118)*[44]Source!I118,3)</f>
        <v>7.91</v>
      </c>
      <c r="I243" s="480"/>
      <c r="J243" s="480"/>
      <c r="K243" s="480">
        <f>ROUND([44]Source!O118,2)</f>
        <v>7.91</v>
      </c>
      <c r="L243" s="480"/>
    </row>
    <row r="244" spans="1:12" x14ac:dyDescent="0.25">
      <c r="A244" s="482"/>
      <c r="B244" s="482"/>
      <c r="C244" s="474" t="s">
        <v>331</v>
      </c>
      <c r="D244" s="483"/>
      <c r="E244" s="483"/>
      <c r="F244" s="484" t="str">
        <f>IF([44]Source!DG118="","-",[44]Source!DG118)</f>
        <v>-</v>
      </c>
      <c r="G244" s="483">
        <f>ROUND([44]Source!AF118,3)</f>
        <v>197.76</v>
      </c>
      <c r="H244" s="483">
        <f>ROUND([44]Source!AF118*[44]Source!I118,3)</f>
        <v>7.91</v>
      </c>
      <c r="I244" s="485" t="str">
        <f>[44]Source!BO118</f>
        <v>п01-11-011-1</v>
      </c>
      <c r="J244" s="483">
        <f>[44]Source!BA118</f>
        <v>1</v>
      </c>
      <c r="K244" s="483">
        <f>ROUND([44]Source!S118,2)</f>
        <v>7.91</v>
      </c>
      <c r="L244" s="483"/>
    </row>
    <row r="245" spans="1:12" x14ac:dyDescent="0.25">
      <c r="A245" s="482"/>
      <c r="B245" s="482"/>
      <c r="C245" s="474" t="s">
        <v>334</v>
      </c>
      <c r="D245" s="483"/>
      <c r="E245" s="483">
        <f>ROUND([44]Source!AH118,2)</f>
        <v>16</v>
      </c>
      <c r="F245" s="484" t="str">
        <f>IF([44]Source!DE118="","-",[44]Source!DE118)</f>
        <v>-</v>
      </c>
      <c r="G245" s="483">
        <f>ROUND([44]Source!AD118,3)</f>
        <v>0</v>
      </c>
      <c r="H245" s="483"/>
      <c r="I245" s="485"/>
      <c r="J245" s="483">
        <f>[44]Source!BB118</f>
        <v>1</v>
      </c>
      <c r="K245" s="483"/>
      <c r="L245" s="483">
        <f>ROUND([44]Source!U118,2)</f>
        <v>0.64</v>
      </c>
    </row>
    <row r="246" spans="1:12" x14ac:dyDescent="0.25">
      <c r="A246" s="482"/>
      <c r="B246" s="482"/>
      <c r="C246" s="474" t="s">
        <v>335</v>
      </c>
      <c r="D246" s="483"/>
      <c r="E246" s="486" t="str">
        <f>CONCATENATE([44]Source!BZ118,"%")</f>
        <v>65%</v>
      </c>
      <c r="F246" s="484" t="str">
        <f>IF([44]Source!DF118="","-",[44]Source!DF118)</f>
        <v>-</v>
      </c>
      <c r="G246" s="483">
        <f>ROUND(([44]Source!AO118+ [44]Source!AN118)*[44]Source!AT118/100,3)</f>
        <v>128.54400000000001</v>
      </c>
      <c r="H246" s="483">
        <f>ROUND(([44]Source!AE118+ [44]Source!AF118)*[44]Source!AT118/100*[44]Source!I118,2)</f>
        <v>5.14</v>
      </c>
      <c r="I246" s="485"/>
      <c r="J246" s="483" t="str">
        <f>CONCATENATE([44]Source!AT118,"%")</f>
        <v>65%</v>
      </c>
      <c r="K246" s="483">
        <f>ROUND([44]Source!X118,2)</f>
        <v>5.14</v>
      </c>
      <c r="L246" s="483"/>
    </row>
    <row r="247" spans="1:12" x14ac:dyDescent="0.25">
      <c r="A247" s="482"/>
      <c r="B247" s="482"/>
      <c r="C247" s="474" t="s">
        <v>336</v>
      </c>
      <c r="D247" s="487"/>
      <c r="E247" s="488" t="str">
        <f>CONCATENATE([44]Source!CA118,"%")</f>
        <v>40%</v>
      </c>
      <c r="F247" s="515" t="str">
        <f>IF([44]Source!DD118="","-",[44]Source!DD118)</f>
        <v>-</v>
      </c>
      <c r="G247" s="487">
        <f>ROUND(([44]Source!AO118+ [44]Source!AN118)*[44]Source!AU118/100,3)</f>
        <v>79.103999999999999</v>
      </c>
      <c r="H247" s="487">
        <f>ROUND(([44]Source!AE118+ [44]Source!AF118)*[44]Source!AU118/100*[44]Source!I118,2)</f>
        <v>3.16</v>
      </c>
      <c r="I247" s="516"/>
      <c r="J247" s="487" t="str">
        <f>CONCATENATE([44]Source!AU118,"%")</f>
        <v>40%</v>
      </c>
      <c r="K247" s="487">
        <f>ROUND([44]Source!Y118,2)</f>
        <v>3.16</v>
      </c>
      <c r="L247" s="487"/>
    </row>
    <row r="248" spans="1:12" x14ac:dyDescent="0.25">
      <c r="A248" s="482"/>
      <c r="B248" s="482"/>
      <c r="C248" s="474"/>
      <c r="D248" s="489"/>
      <c r="E248" s="489"/>
      <c r="F248" s="489"/>
      <c r="G248" s="489">
        <f>ROUND(([44]Source!AO118+ [44]Source!AN118)/100*([44]Source!AT118+[44]Source!AU118)+[44]Source!AK118,2)</f>
        <v>405.41</v>
      </c>
      <c r="H248" s="489">
        <f>ROUND([44]Source!DY118,2)</f>
        <v>16.22</v>
      </c>
      <c r="I248" s="489"/>
      <c r="J248" s="489"/>
      <c r="K248" s="489">
        <f>ROUND([44]Source!O118+[44]Source!HB118+[44]Source!X118+[44]Source!Y118,2)</f>
        <v>16.21</v>
      </c>
      <c r="L248" s="489">
        <f>ROUND([44]Source!U118,2)</f>
        <v>0.64</v>
      </c>
    </row>
    <row r="249" spans="1:12" x14ac:dyDescent="0.25">
      <c r="A249" s="490"/>
      <c r="B249" s="490" t="str">
        <f>[44]SmtRes!I96</f>
        <v>0-3306-69</v>
      </c>
      <c r="C249" s="490" t="str">
        <f>[44]SmtRes!K96</f>
        <v>Электромонтажник-наладчик 6 разряда</v>
      </c>
      <c r="D249" s="490" t="str">
        <f>[44]SmtRes!O96</f>
        <v>чел.-ч</v>
      </c>
      <c r="E249" s="490">
        <f>[44]SmtRes!Y96*[44]Source!I118</f>
        <v>0.32</v>
      </c>
      <c r="F249" s="490">
        <f>[44]SmtRes!AU96</f>
        <v>0</v>
      </c>
      <c r="G249" s="490">
        <f>ROUND(([44]SmtRes!AE96+[44]SmtRes!AF96+[44]SmtRes!AH96),2)</f>
        <v>12.47</v>
      </c>
      <c r="H249" s="490">
        <f>ROUND(([44]SmtRes!AE96+[44]SmtRes!AF96+[44]SmtRes!AH96)*[44]SmtRes!Y96*[44]Source!I118,2)</f>
        <v>3.99</v>
      </c>
      <c r="I249" s="490" t="str">
        <f>[44]Source!BO118</f>
        <v>п01-11-011-1</v>
      </c>
      <c r="J249" s="490">
        <f>IF([44]SmtRes!H96=1,[44]Source!BA118,IF([44]SmtRes!H96=2,[44]Source!BB118,[44]Source!BC118))</f>
        <v>1</v>
      </c>
      <c r="K249" s="490">
        <f>ROUND(([44]SmtRes!AA96+[44]SmtRes!AB96+[44]SmtRes!AD96)*[44]SmtRes!Y96*[44]Source!I118*J249,2)</f>
        <v>3.99</v>
      </c>
      <c r="L249" s="490"/>
    </row>
    <row r="250" spans="1:12" ht="28.5" x14ac:dyDescent="0.25">
      <c r="A250" s="490"/>
      <c r="B250" s="490" t="str">
        <f>[44]SmtRes!I97</f>
        <v>2-0023-69</v>
      </c>
      <c r="C250" s="490" t="str">
        <f>[44]SmtRes!K97</f>
        <v>Инженер по наладке и испытаниям III категории</v>
      </c>
      <c r="D250" s="491" t="str">
        <f>[44]SmtRes!O97</f>
        <v>чел.-ч</v>
      </c>
      <c r="E250" s="491">
        <f>[44]SmtRes!Y97*[44]Source!I118</f>
        <v>0.32</v>
      </c>
      <c r="F250" s="491">
        <f>[44]SmtRes!AU97</f>
        <v>0</v>
      </c>
      <c r="G250" s="491">
        <f>ROUND(([44]SmtRes!AE97+[44]SmtRes!AF97+[44]SmtRes!AH97),2)</f>
        <v>12.25</v>
      </c>
      <c r="H250" s="491">
        <f>ROUND(([44]SmtRes!AE97+[44]SmtRes!AF97+[44]SmtRes!AH97)*[44]SmtRes!Y97*[44]Source!I118,2)</f>
        <v>3.92</v>
      </c>
      <c r="I250" s="491" t="str">
        <f>[44]Source!BO118</f>
        <v>п01-11-011-1</v>
      </c>
      <c r="J250" s="491">
        <f>IF([44]SmtRes!H97=1,[44]Source!BA118,IF([44]SmtRes!H97=2,[44]Source!BB118,[44]Source!BC118))</f>
        <v>1</v>
      </c>
      <c r="K250" s="491">
        <f>ROUND(([44]SmtRes!AA97+[44]SmtRes!AB97+[44]SmtRes!AD97)*[44]SmtRes!Y97*[44]Source!I118*J250,2)</f>
        <v>3.92</v>
      </c>
      <c r="L250" s="491"/>
    </row>
    <row r="251" spans="1:12" s="481" customFormat="1" ht="28.5" x14ac:dyDescent="0.25">
      <c r="A251" s="492" t="str">
        <f>[44]Source!E119</f>
        <v>20</v>
      </c>
      <c r="B251" s="493" t="str">
        <f>CONCATENATE([44]Source!F119,"                       ", [44]Source!EO119)</f>
        <v xml:space="preserve">п01-11-012-1                       </v>
      </c>
      <c r="C251" s="494" t="str">
        <f>[44]Source!G119</f>
        <v>Определение удельного сопротивления грунта</v>
      </c>
      <c r="D251" s="495" t="str">
        <f>[44]Source!H119</f>
        <v>измерение</v>
      </c>
      <c r="E251" s="496">
        <v>1</v>
      </c>
      <c r="F251" s="496"/>
      <c r="G251" s="496">
        <f>ROUND([44]Source!AB119+[44]Source!HA119,3)</f>
        <v>49.44</v>
      </c>
      <c r="H251" s="496">
        <f>ROUND(([44]Source!AB119+[44]Source!HA119)*[44]Source!I119,3)</f>
        <v>49.44</v>
      </c>
      <c r="I251" s="496"/>
      <c r="J251" s="496"/>
      <c r="K251" s="496">
        <f>ROUND([44]Source!O119,2)</f>
        <v>49.44</v>
      </c>
      <c r="L251" s="496"/>
    </row>
    <row r="252" spans="1:12" x14ac:dyDescent="0.25">
      <c r="A252" s="482"/>
      <c r="B252" s="482"/>
      <c r="C252" s="474" t="s">
        <v>331</v>
      </c>
      <c r="D252" s="483"/>
      <c r="E252" s="483"/>
      <c r="F252" s="484" t="str">
        <f>IF([44]Source!DG119="","-",[44]Source!DG119)</f>
        <v>-</v>
      </c>
      <c r="G252" s="483">
        <f>ROUND([44]Source!AF119,3)</f>
        <v>49.44</v>
      </c>
      <c r="H252" s="483">
        <f>ROUND([44]Source!AF119*[44]Source!I119,3)</f>
        <v>49.44</v>
      </c>
      <c r="I252" s="485" t="str">
        <f>[44]Source!BO119</f>
        <v>п01-11-012-1</v>
      </c>
      <c r="J252" s="483">
        <f>[44]Source!BA119</f>
        <v>1</v>
      </c>
      <c r="K252" s="483">
        <f>ROUND([44]Source!S119,2)</f>
        <v>49.44</v>
      </c>
      <c r="L252" s="483"/>
    </row>
    <row r="253" spans="1:12" x14ac:dyDescent="0.25">
      <c r="A253" s="482"/>
      <c r="B253" s="482"/>
      <c r="C253" s="474" t="s">
        <v>334</v>
      </c>
      <c r="D253" s="483"/>
      <c r="E253" s="483">
        <f>ROUND([44]Source!AH119,2)</f>
        <v>4</v>
      </c>
      <c r="F253" s="484" t="str">
        <f>IF([44]Source!DE119="","-",[44]Source!DE119)</f>
        <v>-</v>
      </c>
      <c r="G253" s="483">
        <f>ROUND([44]Source!AD119,3)</f>
        <v>0</v>
      </c>
      <c r="H253" s="483"/>
      <c r="I253" s="485"/>
      <c r="J253" s="483">
        <f>[44]Source!BB119</f>
        <v>1</v>
      </c>
      <c r="K253" s="483"/>
      <c r="L253" s="483">
        <f>ROUND([44]Source!U119,2)</f>
        <v>4</v>
      </c>
    </row>
    <row r="254" spans="1:12" x14ac:dyDescent="0.25">
      <c r="A254" s="482"/>
      <c r="B254" s="482"/>
      <c r="C254" s="474" t="s">
        <v>335</v>
      </c>
      <c r="D254" s="483"/>
      <c r="E254" s="486" t="str">
        <f>CONCATENATE([44]Source!BZ119,"%")</f>
        <v>65%</v>
      </c>
      <c r="F254" s="484" t="str">
        <f>IF([44]Source!DF119="","-",[44]Source!DF119)</f>
        <v>-</v>
      </c>
      <c r="G254" s="483">
        <f>ROUND(([44]Source!AO119+ [44]Source!AN119)*[44]Source!AT119/100,3)</f>
        <v>32.136000000000003</v>
      </c>
      <c r="H254" s="483">
        <f>ROUND(([44]Source!AE119+ [44]Source!AF119)*[44]Source!AT119/100*[44]Source!I119,2)</f>
        <v>32.14</v>
      </c>
      <c r="I254" s="485"/>
      <c r="J254" s="483" t="str">
        <f>CONCATENATE([44]Source!AT119,"%")</f>
        <v>65%</v>
      </c>
      <c r="K254" s="483">
        <f>ROUND([44]Source!X119,2)</f>
        <v>32.14</v>
      </c>
      <c r="L254" s="483"/>
    </row>
    <row r="255" spans="1:12" x14ac:dyDescent="0.25">
      <c r="A255" s="482"/>
      <c r="B255" s="482"/>
      <c r="C255" s="474" t="s">
        <v>336</v>
      </c>
      <c r="D255" s="487"/>
      <c r="E255" s="488" t="str">
        <f>CONCATENATE([44]Source!CA119,"%")</f>
        <v>40%</v>
      </c>
      <c r="F255" s="515" t="str">
        <f>IF([44]Source!DD119="","-",[44]Source!DD119)</f>
        <v>-</v>
      </c>
      <c r="G255" s="487">
        <f>ROUND(([44]Source!AO119+ [44]Source!AN119)*[44]Source!AU119/100,3)</f>
        <v>19.776</v>
      </c>
      <c r="H255" s="487">
        <f>ROUND(([44]Source!AE119+ [44]Source!AF119)*[44]Source!AU119/100*[44]Source!I119,2)</f>
        <v>19.78</v>
      </c>
      <c r="I255" s="516"/>
      <c r="J255" s="487" t="str">
        <f>CONCATENATE([44]Source!AU119,"%")</f>
        <v>40%</v>
      </c>
      <c r="K255" s="487">
        <f>ROUND([44]Source!Y119,2)</f>
        <v>19.78</v>
      </c>
      <c r="L255" s="487"/>
    </row>
    <row r="256" spans="1:12" x14ac:dyDescent="0.25">
      <c r="A256" s="482"/>
      <c r="B256" s="482"/>
      <c r="C256" s="474"/>
      <c r="D256" s="489"/>
      <c r="E256" s="489"/>
      <c r="F256" s="489"/>
      <c r="G256" s="489">
        <f>ROUND(([44]Source!AO119+ [44]Source!AN119)/100*([44]Source!AT119+[44]Source!AU119)+[44]Source!AK119,2)</f>
        <v>101.35</v>
      </c>
      <c r="H256" s="489">
        <f>ROUND([44]Source!DY119,2)</f>
        <v>101.35</v>
      </c>
      <c r="I256" s="489"/>
      <c r="J256" s="489"/>
      <c r="K256" s="489">
        <f>ROUND([44]Source!O119+[44]Source!HB119+[44]Source!X119+[44]Source!Y119,2)</f>
        <v>101.36</v>
      </c>
      <c r="L256" s="489">
        <f>ROUND([44]Source!U119,2)</f>
        <v>4</v>
      </c>
    </row>
    <row r="257" spans="1:12" x14ac:dyDescent="0.25">
      <c r="A257" s="490"/>
      <c r="B257" s="490" t="str">
        <f>[44]SmtRes!I98</f>
        <v>0-3306-69</v>
      </c>
      <c r="C257" s="490" t="str">
        <f>[44]SmtRes!K98</f>
        <v>Электромонтажник-наладчик 6 разряда</v>
      </c>
      <c r="D257" s="490" t="str">
        <f>[44]SmtRes!O98</f>
        <v>чел.-ч</v>
      </c>
      <c r="E257" s="490">
        <f>[44]SmtRes!Y98*[44]Source!I119</f>
        <v>2</v>
      </c>
      <c r="F257" s="490">
        <f>[44]SmtRes!AU98</f>
        <v>0</v>
      </c>
      <c r="G257" s="490">
        <f>ROUND(([44]SmtRes!AE98+[44]SmtRes!AF98+[44]SmtRes!AH98),2)</f>
        <v>12.47</v>
      </c>
      <c r="H257" s="490">
        <f>ROUND(([44]SmtRes!AE98+[44]SmtRes!AF98+[44]SmtRes!AH98)*[44]SmtRes!Y98*[44]Source!I119,2)</f>
        <v>24.94</v>
      </c>
      <c r="I257" s="490" t="str">
        <f>[44]Source!BO119</f>
        <v>п01-11-012-1</v>
      </c>
      <c r="J257" s="490">
        <f>IF([44]SmtRes!H98=1,[44]Source!BA119,IF([44]SmtRes!H98=2,[44]Source!BB119,[44]Source!BC119))</f>
        <v>1</v>
      </c>
      <c r="K257" s="490">
        <f>ROUND(([44]SmtRes!AA98+[44]SmtRes!AB98+[44]SmtRes!AD98)*[44]SmtRes!Y98*[44]Source!I119*J257,2)</f>
        <v>24.94</v>
      </c>
      <c r="L257" s="490"/>
    </row>
    <row r="258" spans="1:12" ht="28.5" x14ac:dyDescent="0.25">
      <c r="A258" s="490"/>
      <c r="B258" s="490" t="str">
        <f>[44]SmtRes!I99</f>
        <v>2-0023-69</v>
      </c>
      <c r="C258" s="490" t="str">
        <f>[44]SmtRes!K99</f>
        <v>Инженер по наладке и испытаниям III категории</v>
      </c>
      <c r="D258" s="491" t="str">
        <f>[44]SmtRes!O99</f>
        <v>чел.-ч</v>
      </c>
      <c r="E258" s="491">
        <f>[44]SmtRes!Y99*[44]Source!I119</f>
        <v>2</v>
      </c>
      <c r="F258" s="491">
        <f>[44]SmtRes!AU99</f>
        <v>0</v>
      </c>
      <c r="G258" s="491">
        <f>ROUND(([44]SmtRes!AE99+[44]SmtRes!AF99+[44]SmtRes!AH99),2)</f>
        <v>12.25</v>
      </c>
      <c r="H258" s="491">
        <f>ROUND(([44]SmtRes!AE99+[44]SmtRes!AF99+[44]SmtRes!AH99)*[44]SmtRes!Y99*[44]Source!I119,2)</f>
        <v>24.5</v>
      </c>
      <c r="I258" s="491" t="str">
        <f>[44]Source!BO119</f>
        <v>п01-11-012-1</v>
      </c>
      <c r="J258" s="491">
        <f>IF([44]SmtRes!H99=1,[44]Source!BA119,IF([44]SmtRes!H99=2,[44]Source!BB119,[44]Source!BC119))</f>
        <v>1</v>
      </c>
      <c r="K258" s="491">
        <f>ROUND(([44]SmtRes!AA99+[44]SmtRes!AB99+[44]SmtRes!AD99)*[44]SmtRes!Y99*[44]Source!I119*J258,2)</f>
        <v>24.5</v>
      </c>
      <c r="L258" s="491"/>
    </row>
    <row r="259" spans="1:12" s="481" customFormat="1" ht="42.75" x14ac:dyDescent="0.25">
      <c r="A259" s="492" t="str">
        <f>[44]Source!E120</f>
        <v>21</v>
      </c>
      <c r="B259" s="493" t="str">
        <f>CONCATENATE([44]Source!F120,"                       ", [44]Source!EO120)</f>
        <v xml:space="preserve">п01-12-027-1                       </v>
      </c>
      <c r="C259" s="494" t="str">
        <f>[44]Source!G120</f>
        <v>Испытание кабеля силового длиной до 500 м напряжением до 10 кВ</v>
      </c>
      <c r="D259" s="495" t="str">
        <f>[44]Source!H120</f>
        <v>1 испытание</v>
      </c>
      <c r="E259" s="496">
        <v>1</v>
      </c>
      <c r="F259" s="496"/>
      <c r="G259" s="496">
        <f>ROUND([44]Source!AB120+[44]Source!HA120,3)</f>
        <v>53.79</v>
      </c>
      <c r="H259" s="496">
        <f>ROUND(([44]Source!AB120+[44]Source!HA120)*[44]Source!I120,3)</f>
        <v>53.79</v>
      </c>
      <c r="I259" s="496"/>
      <c r="J259" s="496"/>
      <c r="K259" s="496">
        <f>ROUND([44]Source!O120,2)</f>
        <v>53.79</v>
      </c>
      <c r="L259" s="496"/>
    </row>
    <row r="260" spans="1:12" x14ac:dyDescent="0.25">
      <c r="A260" s="482"/>
      <c r="B260" s="482"/>
      <c r="C260" s="474" t="s">
        <v>331</v>
      </c>
      <c r="D260" s="483"/>
      <c r="E260" s="483"/>
      <c r="F260" s="484" t="str">
        <f>IF([44]Source!DG120="","-",[44]Source!DG120)</f>
        <v>-</v>
      </c>
      <c r="G260" s="483">
        <f>ROUND([44]Source!AF120,3)</f>
        <v>53.79</v>
      </c>
      <c r="H260" s="483">
        <f>ROUND([44]Source!AF120*[44]Source!I120,3)</f>
        <v>53.79</v>
      </c>
      <c r="I260" s="485" t="str">
        <f>[44]Source!BO120</f>
        <v>п01-12-027-1</v>
      </c>
      <c r="J260" s="483">
        <f>[44]Source!BA120</f>
        <v>1</v>
      </c>
      <c r="K260" s="483">
        <f>ROUND([44]Source!S120,2)</f>
        <v>53.79</v>
      </c>
      <c r="L260" s="483"/>
    </row>
    <row r="261" spans="1:12" x14ac:dyDescent="0.25">
      <c r="A261" s="482"/>
      <c r="B261" s="482"/>
      <c r="C261" s="474" t="s">
        <v>334</v>
      </c>
      <c r="D261" s="483"/>
      <c r="E261" s="483">
        <f>ROUND([44]Source!AH120,2)</f>
        <v>4.8600000000000003</v>
      </c>
      <c r="F261" s="484" t="str">
        <f>IF([44]Source!DE120="","-",[44]Source!DE120)</f>
        <v>-</v>
      </c>
      <c r="G261" s="483">
        <f>ROUND([44]Source!AD120,3)</f>
        <v>0</v>
      </c>
      <c r="H261" s="483"/>
      <c r="I261" s="485"/>
      <c r="J261" s="483">
        <f>[44]Source!BB120</f>
        <v>1</v>
      </c>
      <c r="K261" s="483"/>
      <c r="L261" s="483">
        <f>ROUND([44]Source!U120,2)</f>
        <v>4.8600000000000003</v>
      </c>
    </row>
    <row r="262" spans="1:12" x14ac:dyDescent="0.25">
      <c r="A262" s="482"/>
      <c r="B262" s="482"/>
      <c r="C262" s="474" t="s">
        <v>335</v>
      </c>
      <c r="D262" s="483"/>
      <c r="E262" s="486" t="str">
        <f>CONCATENATE([44]Source!BZ120,"%")</f>
        <v>65%</v>
      </c>
      <c r="F262" s="484" t="str">
        <f>IF([44]Source!DF120="","-",[44]Source!DF120)</f>
        <v>-</v>
      </c>
      <c r="G262" s="483">
        <f>ROUND(([44]Source!AO120+ [44]Source!AN120)*[44]Source!AT120/100,3)</f>
        <v>34.963999999999999</v>
      </c>
      <c r="H262" s="483">
        <f>ROUND(([44]Source!AE120+ [44]Source!AF120)*[44]Source!AT120/100*[44]Source!I120,2)</f>
        <v>34.96</v>
      </c>
      <c r="I262" s="485"/>
      <c r="J262" s="483" t="str">
        <f>CONCATENATE([44]Source!AT120,"%")</f>
        <v>65%</v>
      </c>
      <c r="K262" s="483">
        <f>ROUND([44]Source!X120,2)</f>
        <v>34.96</v>
      </c>
      <c r="L262" s="483"/>
    </row>
    <row r="263" spans="1:12" x14ac:dyDescent="0.25">
      <c r="A263" s="482"/>
      <c r="B263" s="482"/>
      <c r="C263" s="474" t="s">
        <v>336</v>
      </c>
      <c r="D263" s="487"/>
      <c r="E263" s="488" t="str">
        <f>CONCATENATE([44]Source!CA120,"%")</f>
        <v>40%</v>
      </c>
      <c r="F263" s="515" t="str">
        <f>IF([44]Source!DD120="","-",[44]Source!DD120)</f>
        <v>-</v>
      </c>
      <c r="G263" s="487">
        <f>ROUND(([44]Source!AO120+ [44]Source!AN120)*[44]Source!AU120/100,3)</f>
        <v>21.515999999999998</v>
      </c>
      <c r="H263" s="487">
        <f>ROUND(([44]Source!AE120+ [44]Source!AF120)*[44]Source!AU120/100*[44]Source!I120,2)</f>
        <v>21.52</v>
      </c>
      <c r="I263" s="516"/>
      <c r="J263" s="487" t="str">
        <f>CONCATENATE([44]Source!AU120,"%")</f>
        <v>40%</v>
      </c>
      <c r="K263" s="487">
        <f>ROUND([44]Source!Y120,2)</f>
        <v>21.52</v>
      </c>
      <c r="L263" s="487"/>
    </row>
    <row r="264" spans="1:12" x14ac:dyDescent="0.25">
      <c r="A264" s="482"/>
      <c r="B264" s="482"/>
      <c r="C264" s="474"/>
      <c r="D264" s="489"/>
      <c r="E264" s="489"/>
      <c r="F264" s="489"/>
      <c r="G264" s="489">
        <f>ROUND(([44]Source!AO120+ [44]Source!AN120)/100*([44]Source!AT120+[44]Source!AU120)+[44]Source!AK120,2)</f>
        <v>110.27</v>
      </c>
      <c r="H264" s="489">
        <f>ROUND([44]Source!DY120,2)</f>
        <v>110.27</v>
      </c>
      <c r="I264" s="489"/>
      <c r="J264" s="489"/>
      <c r="K264" s="489">
        <f>ROUND([44]Source!O120+[44]Source!HB120+[44]Source!X120+[44]Source!Y120,2)</f>
        <v>110.27</v>
      </c>
      <c r="L264" s="489">
        <f>ROUND([44]Source!U120,2)</f>
        <v>4.8600000000000003</v>
      </c>
    </row>
    <row r="265" spans="1:12" x14ac:dyDescent="0.25">
      <c r="A265" s="490"/>
      <c r="B265" s="490" t="str">
        <f>[44]SmtRes!I100</f>
        <v>0-3304-69</v>
      </c>
      <c r="C265" s="490" t="str">
        <f>[44]SmtRes!K100</f>
        <v>Электромонтажник-наладчик 4 разряда</v>
      </c>
      <c r="D265" s="490" t="str">
        <f>[44]SmtRes!O100</f>
        <v>чел.-ч</v>
      </c>
      <c r="E265" s="490">
        <f>[44]SmtRes!Y100*[44]Source!I120</f>
        <v>1.94</v>
      </c>
      <c r="F265" s="490">
        <f>[44]SmtRes!AU100</f>
        <v>0</v>
      </c>
      <c r="G265" s="490">
        <f>ROUND(([44]SmtRes!AE100+[44]SmtRes!AF100+[44]SmtRes!AH100),2)</f>
        <v>9.2899999999999991</v>
      </c>
      <c r="H265" s="490">
        <f>ROUND(([44]SmtRes!AE100+[44]SmtRes!AF100+[44]SmtRes!AH100)*[44]SmtRes!Y100*[44]Source!I120,2)</f>
        <v>18.02</v>
      </c>
      <c r="I265" s="490" t="str">
        <f>[44]Source!BO120</f>
        <v>п01-12-027-1</v>
      </c>
      <c r="J265" s="490">
        <f>IF([44]SmtRes!H100=1,[44]Source!BA120,IF([44]SmtRes!H100=2,[44]Source!BB120,[44]Source!BC120))</f>
        <v>1</v>
      </c>
      <c r="K265" s="490">
        <f>ROUND(([44]SmtRes!AA100+[44]SmtRes!AB100+[44]SmtRes!AD100)*[44]SmtRes!Y100*[44]Source!I120*J265,2)</f>
        <v>18.02</v>
      </c>
      <c r="L265" s="490"/>
    </row>
    <row r="266" spans="1:12" ht="28.5" x14ac:dyDescent="0.25">
      <c r="A266" s="490"/>
      <c r="B266" s="490" t="str">
        <f>[44]SmtRes!I101</f>
        <v>2-0023-69</v>
      </c>
      <c r="C266" s="490" t="str">
        <f>[44]SmtRes!K101</f>
        <v>Инженер по наладке и испытаниям III категории</v>
      </c>
      <c r="D266" s="490" t="str">
        <f>[44]SmtRes!O101</f>
        <v>чел.-ч</v>
      </c>
      <c r="E266" s="490">
        <f>[44]SmtRes!Y101*[44]Source!I120</f>
        <v>2.92</v>
      </c>
      <c r="F266" s="490">
        <f>[44]SmtRes!AU101</f>
        <v>0</v>
      </c>
      <c r="G266" s="490">
        <f>ROUND(([44]SmtRes!AE101+[44]SmtRes!AF101+[44]SmtRes!AH101),2)</f>
        <v>12.25</v>
      </c>
      <c r="H266" s="490">
        <f>ROUND(([44]SmtRes!AE101+[44]SmtRes!AF101+[44]SmtRes!AH101)*[44]SmtRes!Y101*[44]Source!I120,2)</f>
        <v>35.770000000000003</v>
      </c>
      <c r="I266" s="490" t="str">
        <f>[44]Source!BO120</f>
        <v>п01-12-027-1</v>
      </c>
      <c r="J266" s="490">
        <f>IF([44]SmtRes!H101=1,[44]Source!BA120,IF([44]SmtRes!H101=2,[44]Source!BB120,[44]Source!BC120))</f>
        <v>1</v>
      </c>
      <c r="K266" s="490">
        <f>ROUND(([44]SmtRes!AA101+[44]SmtRes!AB101+[44]SmtRes!AD101)*[44]SmtRes!Y101*[44]Source!I120*J266,2)</f>
        <v>35.770000000000003</v>
      </c>
      <c r="L266" s="490"/>
    </row>
    <row r="267" spans="1:12" x14ac:dyDescent="0.25">
      <c r="A267" s="497"/>
      <c r="L267" s="498"/>
    </row>
    <row r="268" spans="1:12" ht="15" x14ac:dyDescent="0.25">
      <c r="A268" s="499"/>
      <c r="B268" s="500" t="s">
        <v>338</v>
      </c>
      <c r="C268" s="461"/>
      <c r="D268" s="461"/>
      <c r="E268" s="461"/>
      <c r="F268" s="461"/>
      <c r="G268" s="461"/>
      <c r="H268" s="461"/>
      <c r="I268" s="461"/>
      <c r="J268" s="461"/>
      <c r="K268" s="461"/>
      <c r="L268" s="501"/>
    </row>
    <row r="269" spans="1:12" ht="15" x14ac:dyDescent="0.25">
      <c r="A269" s="502"/>
      <c r="B269" s="503"/>
      <c r="L269" s="475"/>
    </row>
    <row r="270" spans="1:12" s="506" customFormat="1" ht="16.5" x14ac:dyDescent="0.25">
      <c r="A270" s="504"/>
      <c r="B270" s="505" t="str">
        <f>[44]Source!H124</f>
        <v>Прямые затраты</v>
      </c>
      <c r="C270" s="505"/>
      <c r="D270" s="505"/>
      <c r="E270" s="505"/>
      <c r="F270" s="505"/>
      <c r="G270" s="505"/>
      <c r="H270" s="505"/>
      <c r="I270" s="505"/>
      <c r="J270" s="505"/>
      <c r="K270" s="816">
        <f>ROUND([44]Source!F124,2)</f>
        <v>111.14</v>
      </c>
      <c r="L270" s="817"/>
    </row>
    <row r="271" spans="1:12" s="506" customFormat="1" ht="16.5" x14ac:dyDescent="0.25">
      <c r="A271" s="504"/>
      <c r="B271" s="505" t="str">
        <f>[44]Source!H137</f>
        <v>Основная ЗП рабочих</v>
      </c>
      <c r="C271" s="505"/>
      <c r="D271" s="505"/>
      <c r="E271" s="505"/>
      <c r="F271" s="505"/>
      <c r="G271" s="505"/>
      <c r="H271" s="505"/>
      <c r="I271" s="505"/>
      <c r="J271" s="505"/>
      <c r="K271" s="816">
        <f>ROUND([44]Source!F137,2)</f>
        <v>111.14</v>
      </c>
      <c r="L271" s="817"/>
    </row>
    <row r="272" spans="1:12" s="506" customFormat="1" ht="16.5" x14ac:dyDescent="0.25">
      <c r="A272" s="504"/>
      <c r="B272" s="505" t="str">
        <f>[44]Source!H141</f>
        <v>Прочие работы с НР и СП</v>
      </c>
      <c r="C272" s="505"/>
      <c r="D272" s="505"/>
      <c r="E272" s="505"/>
      <c r="F272" s="505"/>
      <c r="G272" s="505"/>
      <c r="H272" s="505"/>
      <c r="I272" s="505"/>
      <c r="J272" s="505"/>
      <c r="K272" s="816">
        <f>ROUND([44]Source!F141,2)</f>
        <v>227.84</v>
      </c>
      <c r="L272" s="817"/>
    </row>
    <row r="273" spans="1:12" s="506" customFormat="1" ht="16.5" x14ac:dyDescent="0.25">
      <c r="A273" s="504"/>
      <c r="B273" s="505" t="str">
        <f>[44]Source!H144</f>
        <v>Трудозатраты строителей</v>
      </c>
      <c r="C273" s="505"/>
      <c r="D273" s="505"/>
      <c r="E273" s="505"/>
      <c r="F273" s="505"/>
      <c r="G273" s="505"/>
      <c r="H273" s="505"/>
      <c r="I273" s="505"/>
      <c r="J273" s="505"/>
      <c r="K273" s="816">
        <f>ROUND([44]Source!F144,2)</f>
        <v>9.5</v>
      </c>
      <c r="L273" s="817"/>
    </row>
    <row r="274" spans="1:12" s="506" customFormat="1" ht="16.5" x14ac:dyDescent="0.25">
      <c r="A274" s="504"/>
      <c r="B274" s="505" t="str">
        <f>[44]Source!H147</f>
        <v>Накладные расходы</v>
      </c>
      <c r="C274" s="505"/>
      <c r="D274" s="505"/>
      <c r="E274" s="505"/>
      <c r="F274" s="505"/>
      <c r="G274" s="505"/>
      <c r="H274" s="505"/>
      <c r="I274" s="505"/>
      <c r="J274" s="505"/>
      <c r="K274" s="816">
        <f>ROUND([44]Source!F147,2)</f>
        <v>72.239999999999995</v>
      </c>
      <c r="L274" s="817"/>
    </row>
    <row r="275" spans="1:12" s="506" customFormat="1" ht="16.5" x14ac:dyDescent="0.25">
      <c r="A275" s="504"/>
      <c r="B275" s="505" t="str">
        <f>[44]Source!H148</f>
        <v>Сметная прибыль</v>
      </c>
      <c r="C275" s="505"/>
      <c r="D275" s="505"/>
      <c r="E275" s="505"/>
      <c r="F275" s="505"/>
      <c r="G275" s="505"/>
      <c r="H275" s="505"/>
      <c r="I275" s="505"/>
      <c r="J275" s="505"/>
      <c r="K275" s="816">
        <f>ROUND([44]Source!F148,2)</f>
        <v>44.46</v>
      </c>
      <c r="L275" s="817"/>
    </row>
    <row r="276" spans="1:12" s="506" customFormat="1" ht="16.5" x14ac:dyDescent="0.25">
      <c r="A276" s="504"/>
      <c r="B276" s="505" t="str">
        <f>[44]Source!H149</f>
        <v>Всего с НР и СП</v>
      </c>
      <c r="C276" s="505"/>
      <c r="D276" s="505"/>
      <c r="E276" s="505"/>
      <c r="F276" s="505"/>
      <c r="G276" s="505"/>
      <c r="H276" s="505"/>
      <c r="I276" s="505"/>
      <c r="J276" s="505"/>
      <c r="K276" s="816">
        <f>ROUND([44]Source!F149,2)</f>
        <v>227.84</v>
      </c>
      <c r="L276" s="817"/>
    </row>
    <row r="277" spans="1:12" s="506" customFormat="1" ht="16.5" x14ac:dyDescent="0.25">
      <c r="A277" s="504"/>
      <c r="B277" s="505" t="str">
        <f>[44]Source!H150</f>
        <v>Итого</v>
      </c>
      <c r="C277" s="505"/>
      <c r="D277" s="505"/>
      <c r="E277" s="505"/>
      <c r="F277" s="505"/>
      <c r="G277" s="505"/>
      <c r="H277" s="505"/>
      <c r="I277" s="505"/>
      <c r="J277" s="505"/>
      <c r="K277" s="816">
        <f>ROUND([44]Source!F150,2)</f>
        <v>227.84</v>
      </c>
      <c r="L277" s="817"/>
    </row>
    <row r="278" spans="1:12" x14ac:dyDescent="0.25">
      <c r="A278" s="474"/>
      <c r="L278" s="475"/>
    </row>
    <row r="279" spans="1:12" s="472" customFormat="1" ht="15" x14ac:dyDescent="0.25">
      <c r="A279" s="821" t="s">
        <v>330</v>
      </c>
      <c r="B279" s="822"/>
      <c r="C279" s="471" t="str">
        <f>[44]Source!G152</f>
        <v>Проезды техники к месту производства работ и обратно</v>
      </c>
      <c r="L279" s="507"/>
    </row>
    <row r="280" spans="1:12" ht="6" customHeight="1" x14ac:dyDescent="0.25">
      <c r="A280" s="474"/>
      <c r="L280" s="475"/>
    </row>
    <row r="281" spans="1:12" s="481" customFormat="1" x14ac:dyDescent="0.25">
      <c r="A281" s="476" t="str">
        <f>[44]Source!E156</f>
        <v>22</v>
      </c>
      <c r="B281" s="477" t="str">
        <f>CONCATENATE([44]Source!F156,"                       ", [44]Source!EO156)</f>
        <v xml:space="preserve">1-2040-69                       </v>
      </c>
      <c r="C281" s="478" t="str">
        <f>[44]Source!G156</f>
        <v>Рабочий монтажник среднего разряда 4</v>
      </c>
      <c r="D281" s="479" t="str">
        <f>[44]Source!H156</f>
        <v>чел.-ч</v>
      </c>
      <c r="E281" s="480">
        <v>5</v>
      </c>
      <c r="F281" s="480"/>
      <c r="G281" s="480">
        <f>ROUND([44]Source!AB156+[44]Source!HA156,3)</f>
        <v>9.2899999999999991</v>
      </c>
      <c r="H281" s="480">
        <f>ROUND(([44]Source!AB156+[44]Source!HA156)*[44]Source!I156,3)</f>
        <v>46.45</v>
      </c>
      <c r="I281" s="480"/>
      <c r="J281" s="480"/>
      <c r="K281" s="480">
        <f>ROUND([44]Source!O156,2)</f>
        <v>46.45</v>
      </c>
      <c r="L281" s="480"/>
    </row>
    <row r="282" spans="1:12" x14ac:dyDescent="0.25">
      <c r="A282" s="482"/>
      <c r="B282" s="482"/>
      <c r="C282" s="474" t="s">
        <v>331</v>
      </c>
      <c r="D282" s="483"/>
      <c r="E282" s="483"/>
      <c r="F282" s="484" t="str">
        <f>IF([44]Source!DG156="","-",[44]Source!DG156)</f>
        <v>-</v>
      </c>
      <c r="G282" s="483">
        <f>ROUND([44]Source!AF156,3)</f>
        <v>9.2899999999999991</v>
      </c>
      <c r="H282" s="483">
        <f>ROUND([44]Source!AF156*[44]Source!I156,3)</f>
        <v>46.45</v>
      </c>
      <c r="I282" s="485">
        <f>[44]Source!BO156</f>
        <v>0</v>
      </c>
      <c r="J282" s="483">
        <f>[44]Source!BA156</f>
        <v>1</v>
      </c>
      <c r="K282" s="483">
        <f>ROUND([44]Source!S156,2)</f>
        <v>46.45</v>
      </c>
      <c r="L282" s="483"/>
    </row>
    <row r="283" spans="1:12" x14ac:dyDescent="0.25">
      <c r="A283" s="482"/>
      <c r="B283" s="482"/>
      <c r="C283" s="474" t="s">
        <v>334</v>
      </c>
      <c r="D283" s="483"/>
      <c r="E283" s="483">
        <f>ROUND([44]Source!AH156,2)</f>
        <v>0</v>
      </c>
      <c r="F283" s="484" t="str">
        <f>IF([44]Source!DE156="","-",[44]Source!DE156)</f>
        <v>-</v>
      </c>
      <c r="G283" s="483">
        <f>ROUND([44]Source!AD156,3)</f>
        <v>0</v>
      </c>
      <c r="H283" s="483"/>
      <c r="I283" s="485"/>
      <c r="J283" s="483">
        <f>[44]Source!BB156</f>
        <v>1</v>
      </c>
      <c r="K283" s="483"/>
      <c r="L283" s="483">
        <f>ROUND([44]Source!U156,2)</f>
        <v>0</v>
      </c>
    </row>
    <row r="284" spans="1:12" x14ac:dyDescent="0.25">
      <c r="A284" s="482"/>
      <c r="B284" s="482"/>
      <c r="C284" s="474" t="s">
        <v>335</v>
      </c>
      <c r="D284" s="483"/>
      <c r="E284" s="486" t="str">
        <f>CONCATENATE([44]Source!BZ156,"%")</f>
        <v>95%</v>
      </c>
      <c r="F284" s="484" t="str">
        <f>IF([44]Source!DF156="","-",[44]Source!DF156)</f>
        <v>-</v>
      </c>
      <c r="G284" s="483">
        <f>ROUND(([44]Source!AO156+ [44]Source!AN156)*[44]Source!AT156/100,3)</f>
        <v>8.8260000000000005</v>
      </c>
      <c r="H284" s="483">
        <f>ROUND(([44]Source!AE156+ [44]Source!AF156)*[44]Source!AT156/100*[44]Source!I156,2)</f>
        <v>44.13</v>
      </c>
      <c r="I284" s="485"/>
      <c r="J284" s="483" t="str">
        <f>CONCATENATE([44]Source!AT156,"%")</f>
        <v>95%</v>
      </c>
      <c r="K284" s="483">
        <f>ROUND([44]Source!X156,2)</f>
        <v>44.13</v>
      </c>
      <c r="L284" s="483"/>
    </row>
    <row r="285" spans="1:12" x14ac:dyDescent="0.25">
      <c r="A285" s="482"/>
      <c r="B285" s="482"/>
      <c r="C285" s="474" t="s">
        <v>336</v>
      </c>
      <c r="D285" s="487"/>
      <c r="E285" s="488" t="str">
        <f>CONCATENATE([44]Source!CA156,"%")</f>
        <v>65%</v>
      </c>
      <c r="F285" s="515" t="str">
        <f>IF([44]Source!DD156="","-",[44]Source!DD156)</f>
        <v>-</v>
      </c>
      <c r="G285" s="487">
        <f>ROUND(([44]Source!AO156+ [44]Source!AN156)*[44]Source!AU156/100,3)</f>
        <v>6.0389999999999997</v>
      </c>
      <c r="H285" s="487">
        <f>ROUND(([44]Source!AE156+ [44]Source!AF156)*[44]Source!AU156/100*[44]Source!I156,2)</f>
        <v>30.19</v>
      </c>
      <c r="I285" s="516"/>
      <c r="J285" s="487" t="str">
        <f>CONCATENATE([44]Source!AU156,"%")</f>
        <v>65%</v>
      </c>
      <c r="K285" s="487">
        <f>ROUND([44]Source!Y156,2)</f>
        <v>30.19</v>
      </c>
      <c r="L285" s="487"/>
    </row>
    <row r="286" spans="1:12" x14ac:dyDescent="0.25">
      <c r="A286" s="517"/>
      <c r="B286" s="517"/>
      <c r="C286" s="518"/>
      <c r="D286" s="489"/>
      <c r="E286" s="489"/>
      <c r="F286" s="489"/>
      <c r="G286" s="489">
        <f>ROUND(([44]Source!AO156+ [44]Source!AN156)/100*([44]Source!AT156+[44]Source!AU156)+[44]Source!AK156,2)</f>
        <v>24.15</v>
      </c>
      <c r="H286" s="489">
        <f>ROUND([44]Source!DY156,2)</f>
        <v>120.77</v>
      </c>
      <c r="I286" s="489"/>
      <c r="J286" s="489"/>
      <c r="K286" s="489">
        <f>ROUND([44]Source!O156+[44]Source!HB156+[44]Source!X156+[44]Source!Y156,2)</f>
        <v>120.77</v>
      </c>
      <c r="L286" s="489">
        <f>ROUND([44]Source!U156,2)</f>
        <v>0</v>
      </c>
    </row>
    <row r="287" spans="1:12" s="481" customFormat="1" ht="28.5" x14ac:dyDescent="0.25">
      <c r="A287" s="476" t="str">
        <f>[44]Source!E157</f>
        <v>23</v>
      </c>
      <c r="B287" s="477" t="str">
        <f>CONCATENATE([44]Source!F157,"                       ", [44]Source!EO157)</f>
        <v xml:space="preserve">160402                       </v>
      </c>
      <c r="C287" s="478" t="str">
        <f>[44]Source!G157</f>
        <v>Машины бурильно-крановые на автомобиле, глубина бурения 3,5 м</v>
      </c>
      <c r="D287" s="479" t="str">
        <f>[44]Source!H157</f>
        <v>маш.-ч</v>
      </c>
      <c r="E287" s="480">
        <v>1</v>
      </c>
      <c r="F287" s="480"/>
      <c r="G287" s="480">
        <f>ROUND([44]Source!AB157+[44]Source!HA157,3)</f>
        <v>165.36</v>
      </c>
      <c r="H287" s="480">
        <f>ROUND(([44]Source!AB157+[44]Source!HA157)*[44]Source!I157,3)</f>
        <v>165.36</v>
      </c>
      <c r="I287" s="480"/>
      <c r="J287" s="480"/>
      <c r="K287" s="480">
        <f>ROUND([44]Source!O157,2)</f>
        <v>798.69</v>
      </c>
      <c r="L287" s="480"/>
    </row>
    <row r="288" spans="1:12" x14ac:dyDescent="0.25">
      <c r="A288" s="482"/>
      <c r="B288" s="482"/>
      <c r="C288" s="474" t="s">
        <v>332</v>
      </c>
      <c r="D288" s="483"/>
      <c r="E288" s="483"/>
      <c r="F288" s="484" t="str">
        <f>IF([44]Source!DG157="","-",[44]Source!DG157)</f>
        <v>-</v>
      </c>
      <c r="G288" s="483">
        <f>ROUND([44]Source!AF157,3)</f>
        <v>0</v>
      </c>
      <c r="H288" s="483">
        <f>ROUND([44]Source!AD157*[44]Source!I157,3)</f>
        <v>165.36</v>
      </c>
      <c r="I288" s="485" t="str">
        <f>[44]Source!BO157</f>
        <v>160402</v>
      </c>
      <c r="J288" s="483">
        <f>[44]Source!BA157</f>
        <v>1</v>
      </c>
      <c r="K288" s="483">
        <f>ROUND([44]Source!Q157,2)</f>
        <v>798.69</v>
      </c>
      <c r="L288" s="483"/>
    </row>
    <row r="289" spans="1:12" x14ac:dyDescent="0.25">
      <c r="A289" s="482"/>
      <c r="B289" s="482"/>
      <c r="C289" s="474" t="s">
        <v>333</v>
      </c>
      <c r="D289" s="483"/>
      <c r="E289" s="483"/>
      <c r="F289" s="484" t="str">
        <f>IF([44]Source!DE157="","-",[44]Source!DE157)</f>
        <v>-</v>
      </c>
      <c r="G289" s="483">
        <f>ROUND([44]Source!AD157,3)</f>
        <v>165.36</v>
      </c>
      <c r="H289" s="483">
        <f>ROUND([44]Source!AE157*[44]Source!I157,3)</f>
        <v>11.19</v>
      </c>
      <c r="I289" s="485"/>
      <c r="J289" s="483">
        <v>1</v>
      </c>
      <c r="K289" s="483">
        <f>ROUND([44]Source!R157,2)</f>
        <v>179.49</v>
      </c>
      <c r="L289" s="483"/>
    </row>
    <row r="290" spans="1:12" x14ac:dyDescent="0.25">
      <c r="A290" s="482"/>
      <c r="B290" s="482"/>
      <c r="C290" s="474" t="s">
        <v>334</v>
      </c>
      <c r="D290" s="483"/>
      <c r="E290" s="483">
        <f>ROUND([44]Source!AH157,2)</f>
        <v>0</v>
      </c>
      <c r="F290" s="484" t="str">
        <f>IF([44]Source!DF157="","-",[44]Source!DF157)</f>
        <v>-</v>
      </c>
      <c r="G290" s="483">
        <f>ROUND([44]Source!AE157,3)</f>
        <v>11.19</v>
      </c>
      <c r="H290" s="483"/>
      <c r="I290" s="485"/>
      <c r="J290" s="483">
        <v>1</v>
      </c>
      <c r="K290" s="483"/>
      <c r="L290" s="483">
        <f>ROUND([44]Source!U157,2)</f>
        <v>0</v>
      </c>
    </row>
    <row r="291" spans="1:12" x14ac:dyDescent="0.25">
      <c r="A291" s="482"/>
      <c r="B291" s="482"/>
      <c r="C291" s="474" t="s">
        <v>335</v>
      </c>
      <c r="D291" s="483"/>
      <c r="E291" s="486" t="str">
        <f>CONCATENATE([44]Source!BZ157,"%")</f>
        <v>0%</v>
      </c>
      <c r="F291" s="484" t="str">
        <f>IF([44]Source!DD157="","-",[44]Source!DD157)</f>
        <v>-</v>
      </c>
      <c r="G291" s="483">
        <f>ROUND(([44]Source!AO157+ [44]Source!AN157)*[44]Source!AT157/100,3)</f>
        <v>0</v>
      </c>
      <c r="H291" s="483">
        <f>ROUND(([44]Source!AE157+ [44]Source!AF157)*[44]Source!AT157/100*[44]Source!I157,2)</f>
        <v>0</v>
      </c>
      <c r="I291" s="485"/>
      <c r="J291" s="483" t="str">
        <f>CONCATENATE([44]Source!AT157,"%")</f>
        <v>0%</v>
      </c>
      <c r="K291" s="483">
        <f>ROUND([44]Source!X157,2)</f>
        <v>0</v>
      </c>
      <c r="L291" s="483"/>
    </row>
    <row r="292" spans="1:12" x14ac:dyDescent="0.25">
      <c r="A292" s="482"/>
      <c r="B292" s="482"/>
      <c r="C292" s="474" t="s">
        <v>336</v>
      </c>
      <c r="D292" s="487"/>
      <c r="E292" s="488" t="str">
        <f>CONCATENATE([44]Source!CA157,"%")</f>
        <v>0%</v>
      </c>
      <c r="F292" s="487"/>
      <c r="G292" s="487">
        <f>ROUND(([44]Source!AO157+ [44]Source!AN157)*[44]Source!AU157/100,3)</f>
        <v>0</v>
      </c>
      <c r="H292" s="487">
        <f>ROUND(([44]Source!AE157+ [44]Source!AF157)*[44]Source!AU157/100*[44]Source!I157,2)</f>
        <v>0</v>
      </c>
      <c r="I292" s="487"/>
      <c r="J292" s="487" t="str">
        <f>CONCATENATE([44]Source!AU157,"%")</f>
        <v>0%</v>
      </c>
      <c r="K292" s="487">
        <f>ROUND([44]Source!Y157,2)</f>
        <v>0</v>
      </c>
      <c r="L292" s="487"/>
    </row>
    <row r="293" spans="1:12" x14ac:dyDescent="0.25">
      <c r="A293" s="517"/>
      <c r="B293" s="517"/>
      <c r="C293" s="518"/>
      <c r="D293" s="489"/>
      <c r="E293" s="489"/>
      <c r="F293" s="489"/>
      <c r="G293" s="489">
        <f>ROUND(([44]Source!AO157+ [44]Source!AN157)/100*([44]Source!AT157+[44]Source!AU157)+[44]Source!AK157,2)</f>
        <v>165.36</v>
      </c>
      <c r="H293" s="489">
        <f>ROUND([44]Source!DY157,2)</f>
        <v>165.36</v>
      </c>
      <c r="I293" s="489"/>
      <c r="J293" s="489"/>
      <c r="K293" s="489">
        <f>ROUND([44]Source!O157+[44]Source!HB157+[44]Source!X157+[44]Source!Y157,2)</f>
        <v>798.69</v>
      </c>
      <c r="L293" s="489">
        <f>ROUND([44]Source!U157,2)</f>
        <v>0</v>
      </c>
    </row>
    <row r="294" spans="1:12" s="481" customFormat="1" ht="42.75" x14ac:dyDescent="0.25">
      <c r="A294" s="476" t="str">
        <f>[44]Source!E158</f>
        <v>24</v>
      </c>
      <c r="B294" s="477" t="str">
        <f>CONCATENATE([44]Source!F158,"                       ", [44]Source!EO158)</f>
        <v xml:space="preserve">021101                       </v>
      </c>
      <c r="C294" s="478" t="str">
        <f>[44]Source!G158</f>
        <v>Краны на автомобильном ходу при работе на монтаже технологического оборудования 6,3 т</v>
      </c>
      <c r="D294" s="479" t="str">
        <f>[44]Source!H158</f>
        <v>маш.-ч</v>
      </c>
      <c r="E294" s="480">
        <v>1</v>
      </c>
      <c r="F294" s="480"/>
      <c r="G294" s="480">
        <f>ROUND([44]Source!AB158+[44]Source!HA158,3)</f>
        <v>120.94</v>
      </c>
      <c r="H294" s="480">
        <f>ROUND(([44]Source!AB158+[44]Source!HA158)*[44]Source!I158,3)</f>
        <v>120.94</v>
      </c>
      <c r="I294" s="480"/>
      <c r="J294" s="480"/>
      <c r="K294" s="480">
        <f>ROUND([44]Source!O158,2)</f>
        <v>653.08000000000004</v>
      </c>
      <c r="L294" s="480"/>
    </row>
    <row r="295" spans="1:12" x14ac:dyDescent="0.25">
      <c r="A295" s="482"/>
      <c r="B295" s="482"/>
      <c r="C295" s="474" t="s">
        <v>332</v>
      </c>
      <c r="D295" s="483"/>
      <c r="E295" s="483"/>
      <c r="F295" s="484" t="str">
        <f>IF([44]Source!DG158="","-",[44]Source!DG158)</f>
        <v>-</v>
      </c>
      <c r="G295" s="483">
        <f>ROUND([44]Source!AF158,3)</f>
        <v>0</v>
      </c>
      <c r="H295" s="483">
        <f>ROUND([44]Source!AD158*[44]Source!I158,3)</f>
        <v>120.94</v>
      </c>
      <c r="I295" s="485" t="str">
        <f>[44]Source!BO158</f>
        <v>021101</v>
      </c>
      <c r="J295" s="483">
        <f>[44]Source!BA158</f>
        <v>1</v>
      </c>
      <c r="K295" s="483">
        <f>ROUND([44]Source!Q158,2)</f>
        <v>653.08000000000004</v>
      </c>
      <c r="L295" s="483"/>
    </row>
    <row r="296" spans="1:12" x14ac:dyDescent="0.25">
      <c r="A296" s="482"/>
      <c r="B296" s="482"/>
      <c r="C296" s="474" t="s">
        <v>333</v>
      </c>
      <c r="D296" s="483"/>
      <c r="E296" s="483"/>
      <c r="F296" s="484" t="str">
        <f>IF([44]Source!DE158="","-",[44]Source!DE158)</f>
        <v>-</v>
      </c>
      <c r="G296" s="483">
        <f>ROUND([44]Source!AD158,3)</f>
        <v>120.94</v>
      </c>
      <c r="H296" s="483">
        <f>ROUND([44]Source!AE158*[44]Source!I158,3)</f>
        <v>11.19</v>
      </c>
      <c r="I296" s="485"/>
      <c r="J296" s="483">
        <v>1</v>
      </c>
      <c r="K296" s="483">
        <f>ROUND([44]Source!R158,2)</f>
        <v>179.49</v>
      </c>
      <c r="L296" s="483"/>
    </row>
    <row r="297" spans="1:12" x14ac:dyDescent="0.25">
      <c r="A297" s="482"/>
      <c r="B297" s="482"/>
      <c r="C297" s="474" t="s">
        <v>334</v>
      </c>
      <c r="D297" s="483"/>
      <c r="E297" s="483">
        <f>ROUND([44]Source!AH158,2)</f>
        <v>0</v>
      </c>
      <c r="F297" s="484" t="str">
        <f>IF([44]Source!DF158="","-",[44]Source!DF158)</f>
        <v>-</v>
      </c>
      <c r="G297" s="483">
        <f>ROUND([44]Source!AE158,3)</f>
        <v>11.19</v>
      </c>
      <c r="H297" s="483"/>
      <c r="I297" s="485"/>
      <c r="J297" s="483">
        <v>1</v>
      </c>
      <c r="K297" s="483"/>
      <c r="L297" s="483">
        <f>ROUND([44]Source!U158,2)</f>
        <v>0</v>
      </c>
    </row>
    <row r="298" spans="1:12" x14ac:dyDescent="0.25">
      <c r="A298" s="482"/>
      <c r="B298" s="482"/>
      <c r="C298" s="474" t="s">
        <v>335</v>
      </c>
      <c r="D298" s="483"/>
      <c r="E298" s="486" t="str">
        <f>CONCATENATE([44]Source!BZ158,"%")</f>
        <v>0%</v>
      </c>
      <c r="F298" s="484" t="str">
        <f>IF([44]Source!DD158="","-",[44]Source!DD158)</f>
        <v>-</v>
      </c>
      <c r="G298" s="483">
        <f>ROUND(([44]Source!AO158+ [44]Source!AN158)*[44]Source!AT158/100,3)</f>
        <v>0</v>
      </c>
      <c r="H298" s="483">
        <f>ROUND(([44]Source!AE158+ [44]Source!AF158)*[44]Source!AT158/100*[44]Source!I158,2)</f>
        <v>0</v>
      </c>
      <c r="I298" s="485"/>
      <c r="J298" s="483" t="str">
        <f>CONCATENATE([44]Source!AT158,"%")</f>
        <v>0%</v>
      </c>
      <c r="K298" s="483">
        <f>ROUND([44]Source!X158,2)</f>
        <v>0</v>
      </c>
      <c r="L298" s="483"/>
    </row>
    <row r="299" spans="1:12" x14ac:dyDescent="0.25">
      <c r="A299" s="482"/>
      <c r="B299" s="482"/>
      <c r="C299" s="474" t="s">
        <v>336</v>
      </c>
      <c r="D299" s="487"/>
      <c r="E299" s="488" t="str">
        <f>CONCATENATE([44]Source!CA158,"%")</f>
        <v>0%</v>
      </c>
      <c r="F299" s="487"/>
      <c r="G299" s="487">
        <f>ROUND(([44]Source!AO158+ [44]Source!AN158)*[44]Source!AU158/100,3)</f>
        <v>0</v>
      </c>
      <c r="H299" s="487">
        <f>ROUND(([44]Source!AE158+ [44]Source!AF158)*[44]Source!AU158/100*[44]Source!I158,2)</f>
        <v>0</v>
      </c>
      <c r="I299" s="487"/>
      <c r="J299" s="487" t="str">
        <f>CONCATENATE([44]Source!AU158,"%")</f>
        <v>0%</v>
      </c>
      <c r="K299" s="487">
        <f>ROUND([44]Source!Y158,2)</f>
        <v>0</v>
      </c>
      <c r="L299" s="487"/>
    </row>
    <row r="300" spans="1:12" x14ac:dyDescent="0.25">
      <c r="A300" s="517"/>
      <c r="B300" s="517"/>
      <c r="C300" s="518"/>
      <c r="D300" s="489"/>
      <c r="E300" s="489"/>
      <c r="F300" s="489"/>
      <c r="G300" s="489">
        <f>ROUND(([44]Source!AO158+ [44]Source!AN158)/100*([44]Source!AT158+[44]Source!AU158)+[44]Source!AK158,2)</f>
        <v>120.94</v>
      </c>
      <c r="H300" s="489">
        <f>ROUND([44]Source!DY158,2)</f>
        <v>120.94</v>
      </c>
      <c r="I300" s="489"/>
      <c r="J300" s="489"/>
      <c r="K300" s="489">
        <f>ROUND([44]Source!O158+[44]Source!HB158+[44]Source!X158+[44]Source!Y158,2)</f>
        <v>653.08000000000004</v>
      </c>
      <c r="L300" s="489">
        <f>ROUND([44]Source!U158,2)</f>
        <v>0</v>
      </c>
    </row>
    <row r="301" spans="1:12" s="481" customFormat="1" ht="28.5" x14ac:dyDescent="0.25">
      <c r="A301" s="476" t="str">
        <f>[44]Source!E159</f>
        <v>25</v>
      </c>
      <c r="B301" s="477" t="str">
        <f>CONCATENATE([44]Source!F159,"                       ", [44]Source!EO159)</f>
        <v xml:space="preserve">400001                       </v>
      </c>
      <c r="C301" s="478" t="str">
        <f>[44]Source!G159</f>
        <v>Автомобили бортовые, грузоподъемность до 5 т</v>
      </c>
      <c r="D301" s="479" t="str">
        <f>[44]Source!H159</f>
        <v>маш.-ч</v>
      </c>
      <c r="E301" s="480">
        <v>1</v>
      </c>
      <c r="F301" s="480"/>
      <c r="G301" s="480">
        <f>ROUND([44]Source!AB159+[44]Source!HA159,3)</f>
        <v>91.62</v>
      </c>
      <c r="H301" s="480">
        <f>ROUND(([44]Source!AB159+[44]Source!HA159)*[44]Source!I159,3)</f>
        <v>91.62</v>
      </c>
      <c r="I301" s="480"/>
      <c r="J301" s="480"/>
      <c r="K301" s="480">
        <f>ROUND([44]Source!O159,2)</f>
        <v>738.46</v>
      </c>
      <c r="L301" s="480"/>
    </row>
    <row r="302" spans="1:12" x14ac:dyDescent="0.25">
      <c r="A302" s="482"/>
      <c r="B302" s="482"/>
      <c r="C302" s="474" t="s">
        <v>332</v>
      </c>
      <c r="D302" s="483"/>
      <c r="E302" s="483"/>
      <c r="F302" s="484" t="str">
        <f>IF([44]Source!DG159="","-",[44]Source!DG159)</f>
        <v>-</v>
      </c>
      <c r="G302" s="483">
        <f>ROUND([44]Source!AF159,3)</f>
        <v>0</v>
      </c>
      <c r="H302" s="483">
        <f>ROUND([44]Source!AD159*[44]Source!I159,3)</f>
        <v>91.62</v>
      </c>
      <c r="I302" s="485" t="str">
        <f>[44]Source!BO159</f>
        <v>400001</v>
      </c>
      <c r="J302" s="483">
        <f>[44]Source!BA159</f>
        <v>1</v>
      </c>
      <c r="K302" s="483">
        <f>ROUND([44]Source!Q159,2)</f>
        <v>738.46</v>
      </c>
      <c r="L302" s="483"/>
    </row>
    <row r="303" spans="1:12" x14ac:dyDescent="0.25">
      <c r="A303" s="482"/>
      <c r="B303" s="482"/>
      <c r="C303" s="474" t="s">
        <v>333</v>
      </c>
      <c r="D303" s="483"/>
      <c r="E303" s="483"/>
      <c r="F303" s="484" t="str">
        <f>IF([44]Source!DE159="","-",[44]Source!DE159)</f>
        <v>-</v>
      </c>
      <c r="G303" s="483">
        <f>ROUND([44]Source!AD159,3)</f>
        <v>91.62</v>
      </c>
      <c r="H303" s="483">
        <f>ROUND([44]Source!AE159*[44]Source!I159,3)</f>
        <v>11.19</v>
      </c>
      <c r="I303" s="485"/>
      <c r="J303" s="483">
        <v>1</v>
      </c>
      <c r="K303" s="483">
        <f>ROUND([44]Source!R159,2)</f>
        <v>179.49</v>
      </c>
      <c r="L303" s="483"/>
    </row>
    <row r="304" spans="1:12" x14ac:dyDescent="0.25">
      <c r="A304" s="482"/>
      <c r="B304" s="482"/>
      <c r="C304" s="474" t="s">
        <v>334</v>
      </c>
      <c r="D304" s="483"/>
      <c r="E304" s="483">
        <f>ROUND([44]Source!AH159,2)</f>
        <v>0</v>
      </c>
      <c r="F304" s="484" t="str">
        <f>IF([44]Source!DF159="","-",[44]Source!DF159)</f>
        <v>-</v>
      </c>
      <c r="G304" s="483">
        <f>ROUND([44]Source!AE159,3)</f>
        <v>11.19</v>
      </c>
      <c r="H304" s="483"/>
      <c r="I304" s="485"/>
      <c r="J304" s="483">
        <v>1</v>
      </c>
      <c r="K304" s="483"/>
      <c r="L304" s="483">
        <f>ROUND([44]Source!U159,2)</f>
        <v>0</v>
      </c>
    </row>
    <row r="305" spans="1:12" x14ac:dyDescent="0.25">
      <c r="A305" s="482"/>
      <c r="B305" s="482"/>
      <c r="C305" s="474" t="s">
        <v>335</v>
      </c>
      <c r="D305" s="483"/>
      <c r="E305" s="486" t="str">
        <f>CONCATENATE([44]Source!BZ159,"%")</f>
        <v>0%</v>
      </c>
      <c r="F305" s="484" t="str">
        <f>IF([44]Source!DD159="","-",[44]Source!DD159)</f>
        <v>-</v>
      </c>
      <c r="G305" s="483">
        <f>ROUND(([44]Source!AO159+ [44]Source!AN159)*[44]Source!AT159/100,3)</f>
        <v>0</v>
      </c>
      <c r="H305" s="483">
        <f>ROUND(([44]Source!AE159+ [44]Source!AF159)*[44]Source!AT159/100*[44]Source!I159,2)</f>
        <v>0</v>
      </c>
      <c r="I305" s="485"/>
      <c r="J305" s="483" t="str">
        <f>CONCATENATE([44]Source!AT159,"%")</f>
        <v>0%</v>
      </c>
      <c r="K305" s="483">
        <f>ROUND([44]Source!X159,2)</f>
        <v>0</v>
      </c>
      <c r="L305" s="483"/>
    </row>
    <row r="306" spans="1:12" x14ac:dyDescent="0.25">
      <c r="A306" s="482"/>
      <c r="B306" s="482"/>
      <c r="C306" s="474" t="s">
        <v>336</v>
      </c>
      <c r="D306" s="487"/>
      <c r="E306" s="488" t="str">
        <f>CONCATENATE([44]Source!CA159,"%")</f>
        <v>0%</v>
      </c>
      <c r="F306" s="487"/>
      <c r="G306" s="487">
        <f>ROUND(([44]Source!AO159+ [44]Source!AN159)*[44]Source!AU159/100,3)</f>
        <v>0</v>
      </c>
      <c r="H306" s="487">
        <f>ROUND(([44]Source!AE159+ [44]Source!AF159)*[44]Source!AU159/100*[44]Source!I159,2)</f>
        <v>0</v>
      </c>
      <c r="I306" s="487"/>
      <c r="J306" s="487" t="str">
        <f>CONCATENATE([44]Source!AU159,"%")</f>
        <v>0%</v>
      </c>
      <c r="K306" s="487">
        <f>ROUND([44]Source!Y159,2)</f>
        <v>0</v>
      </c>
      <c r="L306" s="487"/>
    </row>
    <row r="307" spans="1:12" x14ac:dyDescent="0.25">
      <c r="A307" s="517"/>
      <c r="B307" s="517"/>
      <c r="C307" s="518"/>
      <c r="D307" s="489"/>
      <c r="E307" s="489"/>
      <c r="F307" s="489"/>
      <c r="G307" s="489">
        <f>ROUND(([44]Source!AO159+ [44]Source!AN159)/100*([44]Source!AT159+[44]Source!AU159)+[44]Source!AK159,2)</f>
        <v>91.62</v>
      </c>
      <c r="H307" s="489">
        <f>ROUND([44]Source!DY159,2)</f>
        <v>91.62</v>
      </c>
      <c r="I307" s="489"/>
      <c r="J307" s="489"/>
      <c r="K307" s="489">
        <f>ROUND([44]Source!O159+[44]Source!HB159+[44]Source!X159+[44]Source!Y159,2)</f>
        <v>738.46</v>
      </c>
      <c r="L307" s="489">
        <f>ROUND([44]Source!U159,2)</f>
        <v>0</v>
      </c>
    </row>
    <row r="308" spans="1:12" s="481" customFormat="1" x14ac:dyDescent="0.25">
      <c r="A308" s="476" t="str">
        <f>[44]Source!E160</f>
        <v>26</v>
      </c>
      <c r="B308" s="477" t="str">
        <f>CONCATENATE([44]Source!F160,"                       ", [44]Source!EO160)</f>
        <v xml:space="preserve">400302                       </v>
      </c>
      <c r="C308" s="478" t="str">
        <f>[44]Source!G160</f>
        <v>Спецавтомашины типа УАЗ</v>
      </c>
      <c r="D308" s="479" t="str">
        <f>[44]Source!H160</f>
        <v>маш.-ч</v>
      </c>
      <c r="E308" s="480">
        <v>1</v>
      </c>
      <c r="F308" s="480"/>
      <c r="G308" s="480">
        <f>ROUND([44]Source!AB160+[44]Source!HA160,3)</f>
        <v>113.15</v>
      </c>
      <c r="H308" s="480">
        <f>ROUND(([44]Source!AB160+[44]Source!HA160)*[44]Source!I160,3)</f>
        <v>113.15</v>
      </c>
      <c r="I308" s="480"/>
      <c r="J308" s="480"/>
      <c r="K308" s="480">
        <f>ROUND([44]Source!O160,2)</f>
        <v>113.15</v>
      </c>
      <c r="L308" s="480"/>
    </row>
    <row r="309" spans="1:12" x14ac:dyDescent="0.25">
      <c r="A309" s="482"/>
      <c r="B309" s="482"/>
      <c r="C309" s="474" t="s">
        <v>332</v>
      </c>
      <c r="D309" s="483"/>
      <c r="E309" s="483"/>
      <c r="F309" s="484" t="str">
        <f>IF([44]Source!DG160="","-",[44]Source!DG160)</f>
        <v>-</v>
      </c>
      <c r="G309" s="483">
        <f>ROUND([44]Source!AF160,3)</f>
        <v>0</v>
      </c>
      <c r="H309" s="483">
        <f>ROUND([44]Source!AD160*[44]Source!I160,3)</f>
        <v>113.15</v>
      </c>
      <c r="I309" s="485">
        <f>[44]Source!BO160</f>
        <v>0</v>
      </c>
      <c r="J309" s="483">
        <f>[44]Source!BA160</f>
        <v>1</v>
      </c>
      <c r="K309" s="483">
        <f>ROUND([44]Source!Q160,2)</f>
        <v>113.15</v>
      </c>
      <c r="L309" s="483"/>
    </row>
    <row r="310" spans="1:12" x14ac:dyDescent="0.25">
      <c r="A310" s="482"/>
      <c r="B310" s="482"/>
      <c r="C310" s="474" t="s">
        <v>333</v>
      </c>
      <c r="D310" s="483"/>
      <c r="E310" s="483"/>
      <c r="F310" s="484" t="str">
        <f>IF([44]Source!DE160="","-",[44]Source!DE160)</f>
        <v>-</v>
      </c>
      <c r="G310" s="483">
        <f>ROUND([44]Source!AD160,3)</f>
        <v>113.15</v>
      </c>
      <c r="H310" s="483">
        <f>ROUND([44]Source!AE160*[44]Source!I160,3)</f>
        <v>11.19</v>
      </c>
      <c r="I310" s="485"/>
      <c r="J310" s="483">
        <f>[44]Source!BB160</f>
        <v>1</v>
      </c>
      <c r="K310" s="483">
        <f>ROUND([44]Source!R160,2)</f>
        <v>11.19</v>
      </c>
      <c r="L310" s="483"/>
    </row>
    <row r="311" spans="1:12" x14ac:dyDescent="0.25">
      <c r="A311" s="482"/>
      <c r="B311" s="482"/>
      <c r="C311" s="474" t="s">
        <v>334</v>
      </c>
      <c r="D311" s="483"/>
      <c r="E311" s="483">
        <f>ROUND([44]Source!AH160,2)</f>
        <v>0</v>
      </c>
      <c r="F311" s="484" t="str">
        <f>IF([44]Source!DF160="","-",[44]Source!DF160)</f>
        <v>-</v>
      </c>
      <c r="G311" s="483">
        <f>ROUND([44]Source!AE160,3)</f>
        <v>11.19</v>
      </c>
      <c r="H311" s="483"/>
      <c r="I311" s="485"/>
      <c r="J311" s="483">
        <f>[44]Source!BS160</f>
        <v>1</v>
      </c>
      <c r="K311" s="483"/>
      <c r="L311" s="483">
        <f>ROUND([44]Source!U160,2)</f>
        <v>0</v>
      </c>
    </row>
    <row r="312" spans="1:12" x14ac:dyDescent="0.25">
      <c r="A312" s="482"/>
      <c r="B312" s="482"/>
      <c r="C312" s="474" t="s">
        <v>335</v>
      </c>
      <c r="D312" s="483"/>
      <c r="E312" s="486" t="str">
        <f>CONCATENATE([44]Source!BZ160,"%")</f>
        <v>0%</v>
      </c>
      <c r="F312" s="484" t="str">
        <f>IF([44]Source!DD160="","-",[44]Source!DD160)</f>
        <v>-</v>
      </c>
      <c r="G312" s="483">
        <f>ROUND(([44]Source!AO160+ [44]Source!AN160)*[44]Source!AT160/100,3)</f>
        <v>0</v>
      </c>
      <c r="H312" s="483">
        <f>ROUND(([44]Source!AE160+ [44]Source!AF160)*[44]Source!AT160/100*[44]Source!I160,2)</f>
        <v>0</v>
      </c>
      <c r="I312" s="485"/>
      <c r="J312" s="483" t="str">
        <f>CONCATENATE([44]Source!AT160,"%")</f>
        <v>0%</v>
      </c>
      <c r="K312" s="483">
        <f>ROUND([44]Source!X160,2)</f>
        <v>0</v>
      </c>
      <c r="L312" s="483"/>
    </row>
    <row r="313" spans="1:12" x14ac:dyDescent="0.25">
      <c r="A313" s="482"/>
      <c r="B313" s="482"/>
      <c r="C313" s="474" t="s">
        <v>336</v>
      </c>
      <c r="D313" s="487"/>
      <c r="E313" s="488" t="str">
        <f>CONCATENATE([44]Source!CA160,"%")</f>
        <v>0%</v>
      </c>
      <c r="F313" s="487"/>
      <c r="G313" s="487">
        <f>ROUND(([44]Source!AO160+ [44]Source!AN160)*[44]Source!AU160/100,3)</f>
        <v>0</v>
      </c>
      <c r="H313" s="487">
        <f>ROUND(([44]Source!AE160+ [44]Source!AF160)*[44]Source!AU160/100*[44]Source!I160,2)</f>
        <v>0</v>
      </c>
      <c r="I313" s="487"/>
      <c r="J313" s="487" t="str">
        <f>CONCATENATE([44]Source!AU160,"%")</f>
        <v>0%</v>
      </c>
      <c r="K313" s="487">
        <f>ROUND([44]Source!Y160,2)</f>
        <v>0</v>
      </c>
      <c r="L313" s="487"/>
    </row>
    <row r="314" spans="1:12" x14ac:dyDescent="0.25">
      <c r="A314" s="517"/>
      <c r="B314" s="517"/>
      <c r="C314" s="518"/>
      <c r="D314" s="519"/>
      <c r="E314" s="519"/>
      <c r="F314" s="519"/>
      <c r="G314" s="519">
        <f>ROUND(([44]Source!AO160+ [44]Source!AN160)/100*([44]Source!AT160+[44]Source!AU160)+[44]Source!AK160,2)</f>
        <v>113.15</v>
      </c>
      <c r="H314" s="519">
        <f>ROUND([44]Source!DY160,2)</f>
        <v>113.15</v>
      </c>
      <c r="I314" s="519"/>
      <c r="J314" s="519"/>
      <c r="K314" s="519">
        <f>ROUND([44]Source!O160+[44]Source!HB160+[44]Source!X160+[44]Source!Y160,2)</f>
        <v>113.15</v>
      </c>
      <c r="L314" s="519">
        <f>ROUND([44]Source!U160,2)</f>
        <v>0</v>
      </c>
    </row>
    <row r="315" spans="1:12" x14ac:dyDescent="0.25">
      <c r="A315" s="513"/>
      <c r="L315" s="514"/>
    </row>
    <row r="316" spans="1:12" ht="15" x14ac:dyDescent="0.25">
      <c r="A316" s="499"/>
      <c r="B316" s="500" t="s">
        <v>338</v>
      </c>
      <c r="C316" s="461"/>
      <c r="D316" s="461"/>
      <c r="E316" s="461"/>
      <c r="F316" s="461"/>
      <c r="G316" s="461"/>
      <c r="H316" s="461"/>
      <c r="I316" s="461"/>
      <c r="J316" s="461"/>
      <c r="K316" s="461"/>
      <c r="L316" s="501"/>
    </row>
    <row r="317" spans="1:12" ht="15" x14ac:dyDescent="0.25">
      <c r="A317" s="502"/>
      <c r="B317" s="503"/>
      <c r="L317" s="475"/>
    </row>
    <row r="318" spans="1:12" s="506" customFormat="1" ht="16.5" x14ac:dyDescent="0.25">
      <c r="A318" s="504"/>
      <c r="B318" s="505" t="str">
        <f>[44]Source!H164</f>
        <v>Прямые затраты</v>
      </c>
      <c r="C318" s="505"/>
      <c r="D318" s="505"/>
      <c r="E318" s="505"/>
      <c r="F318" s="505"/>
      <c r="G318" s="505"/>
      <c r="H318" s="505"/>
      <c r="I318" s="505"/>
      <c r="J318" s="505"/>
      <c r="K318" s="816">
        <f>ROUND([44]Source!F164,2)</f>
        <v>2349.83</v>
      </c>
      <c r="L318" s="817"/>
    </row>
    <row r="319" spans="1:12" s="506" customFormat="1" ht="16.5" x14ac:dyDescent="0.25">
      <c r="A319" s="504"/>
      <c r="B319" s="505" t="str">
        <f>[44]Source!H174</f>
        <v>Эксплуатация машин</v>
      </c>
      <c r="C319" s="505"/>
      <c r="D319" s="505"/>
      <c r="E319" s="505"/>
      <c r="F319" s="505"/>
      <c r="G319" s="505"/>
      <c r="H319" s="505"/>
      <c r="I319" s="505"/>
      <c r="J319" s="505"/>
      <c r="K319" s="816">
        <f>ROUND([44]Source!F174,2)</f>
        <v>2303.38</v>
      </c>
      <c r="L319" s="817"/>
    </row>
    <row r="320" spans="1:12" s="506" customFormat="1" ht="16.5" x14ac:dyDescent="0.25">
      <c r="A320" s="504"/>
      <c r="B320" s="505" t="str">
        <f>[44]Source!H176</f>
        <v>ЗП машинистов</v>
      </c>
      <c r="C320" s="505"/>
      <c r="D320" s="505"/>
      <c r="E320" s="505"/>
      <c r="F320" s="505"/>
      <c r="G320" s="505"/>
      <c r="H320" s="505"/>
      <c r="I320" s="505"/>
      <c r="J320" s="505"/>
      <c r="K320" s="816">
        <f>ROUND([44]Source!F176,2)</f>
        <v>549.66</v>
      </c>
      <c r="L320" s="817"/>
    </row>
    <row r="321" spans="1:12" s="506" customFormat="1" ht="16.5" x14ac:dyDescent="0.25">
      <c r="A321" s="504"/>
      <c r="B321" s="505" t="str">
        <f>[44]Source!H177</f>
        <v>Основная ЗП рабочих</v>
      </c>
      <c r="C321" s="505"/>
      <c r="D321" s="505"/>
      <c r="E321" s="505"/>
      <c r="F321" s="505"/>
      <c r="G321" s="505"/>
      <c r="H321" s="505"/>
      <c r="I321" s="505"/>
      <c r="J321" s="505"/>
      <c r="K321" s="816">
        <f>ROUND([44]Source!F177,2)</f>
        <v>46.45</v>
      </c>
      <c r="L321" s="817"/>
    </row>
    <row r="322" spans="1:12" s="506" customFormat="1" ht="16.5" x14ac:dyDescent="0.25">
      <c r="A322" s="504"/>
      <c r="B322" s="505" t="str">
        <f>[44]Source!H179</f>
        <v>Строительные работы с НР и СП</v>
      </c>
      <c r="C322" s="505"/>
      <c r="D322" s="505"/>
      <c r="E322" s="505"/>
      <c r="F322" s="505"/>
      <c r="G322" s="505"/>
      <c r="H322" s="505"/>
      <c r="I322" s="505"/>
      <c r="J322" s="505"/>
      <c r="K322" s="816">
        <f>ROUND([44]Source!F179,2)</f>
        <v>2303.38</v>
      </c>
      <c r="L322" s="817"/>
    </row>
    <row r="323" spans="1:12" s="506" customFormat="1" ht="16.5" x14ac:dyDescent="0.25">
      <c r="A323" s="504"/>
      <c r="B323" s="505" t="str">
        <f>[44]Source!H180</f>
        <v>Монтажные работы с НР и СП</v>
      </c>
      <c r="C323" s="505"/>
      <c r="D323" s="505"/>
      <c r="E323" s="505"/>
      <c r="F323" s="505"/>
      <c r="G323" s="505"/>
      <c r="H323" s="505"/>
      <c r="I323" s="505"/>
      <c r="J323" s="505"/>
      <c r="K323" s="816">
        <f>ROUND([44]Source!F180,2)</f>
        <v>120.77</v>
      </c>
      <c r="L323" s="817"/>
    </row>
    <row r="324" spans="1:12" s="506" customFormat="1" ht="16.5" x14ac:dyDescent="0.25">
      <c r="A324" s="504"/>
      <c r="B324" s="505" t="str">
        <f>[44]Source!H187</f>
        <v>Накладные расходы</v>
      </c>
      <c r="C324" s="505"/>
      <c r="D324" s="505"/>
      <c r="E324" s="505"/>
      <c r="F324" s="505"/>
      <c r="G324" s="505"/>
      <c r="H324" s="505"/>
      <c r="I324" s="505"/>
      <c r="J324" s="505"/>
      <c r="K324" s="816">
        <f>ROUND([44]Source!F187,2)</f>
        <v>44.13</v>
      </c>
      <c r="L324" s="817"/>
    </row>
    <row r="325" spans="1:12" s="506" customFormat="1" ht="16.5" x14ac:dyDescent="0.25">
      <c r="A325" s="504"/>
      <c r="B325" s="505" t="str">
        <f>[44]Source!H188</f>
        <v>Сметная прибыль</v>
      </c>
      <c r="C325" s="505"/>
      <c r="D325" s="505"/>
      <c r="E325" s="505"/>
      <c r="F325" s="505"/>
      <c r="G325" s="505"/>
      <c r="H325" s="505"/>
      <c r="I325" s="505"/>
      <c r="J325" s="505"/>
      <c r="K325" s="816">
        <f>ROUND([44]Source!F188,2)</f>
        <v>30.19</v>
      </c>
      <c r="L325" s="817"/>
    </row>
    <row r="326" spans="1:12" s="506" customFormat="1" ht="16.5" x14ac:dyDescent="0.25">
      <c r="A326" s="504"/>
      <c r="B326" s="505" t="str">
        <f>[44]Source!H189</f>
        <v>Всего с НР и СП</v>
      </c>
      <c r="C326" s="505"/>
      <c r="D326" s="505"/>
      <c r="E326" s="505"/>
      <c r="F326" s="505"/>
      <c r="G326" s="505"/>
      <c r="H326" s="505"/>
      <c r="I326" s="505"/>
      <c r="J326" s="505"/>
      <c r="K326" s="816">
        <f>ROUND([44]Source!F189,2)</f>
        <v>2424.15</v>
      </c>
      <c r="L326" s="817"/>
    </row>
    <row r="327" spans="1:12" s="506" customFormat="1" ht="16.5" x14ac:dyDescent="0.25">
      <c r="A327" s="504"/>
      <c r="B327" s="505" t="str">
        <f>[44]Source!H190</f>
        <v>Итого</v>
      </c>
      <c r="C327" s="505"/>
      <c r="D327" s="505"/>
      <c r="E327" s="505"/>
      <c r="F327" s="505"/>
      <c r="G327" s="505"/>
      <c r="H327" s="505"/>
      <c r="I327" s="505"/>
      <c r="J327" s="505"/>
      <c r="K327" s="816">
        <f>ROUND([44]Source!F190,2)</f>
        <v>2424.15</v>
      </c>
      <c r="L327" s="817"/>
    </row>
    <row r="328" spans="1:12" x14ac:dyDescent="0.25">
      <c r="A328" s="474"/>
      <c r="L328" s="475"/>
    </row>
    <row r="329" spans="1:12" x14ac:dyDescent="0.25">
      <c r="A329" s="474"/>
      <c r="L329" s="475"/>
    </row>
    <row r="330" spans="1:12" ht="15" x14ac:dyDescent="0.25">
      <c r="A330" s="499"/>
      <c r="B330" s="500" t="s">
        <v>340</v>
      </c>
      <c r="C330" s="461"/>
      <c r="D330" s="461"/>
      <c r="E330" s="461"/>
      <c r="F330" s="461"/>
      <c r="G330" s="461"/>
      <c r="H330" s="461"/>
      <c r="I330" s="461"/>
      <c r="J330" s="461"/>
      <c r="K330" s="461"/>
      <c r="L330" s="501"/>
    </row>
    <row r="331" spans="1:12" ht="15" x14ac:dyDescent="0.25">
      <c r="A331" s="502"/>
      <c r="B331" s="503"/>
      <c r="L331" s="475"/>
    </row>
    <row r="332" spans="1:12" s="506" customFormat="1" ht="16.5" x14ac:dyDescent="0.25">
      <c r="A332" s="504"/>
      <c r="B332" s="505" t="str">
        <f>[44]Source!H194</f>
        <v>Прямые затраты</v>
      </c>
      <c r="C332" s="505"/>
      <c r="D332" s="505"/>
      <c r="E332" s="505"/>
      <c r="F332" s="505"/>
      <c r="G332" s="505"/>
      <c r="H332" s="505"/>
      <c r="I332" s="505"/>
      <c r="J332" s="505"/>
      <c r="K332" s="816">
        <f>ROUND([44]Source!F194,2)</f>
        <v>510573.26</v>
      </c>
      <c r="L332" s="817"/>
    </row>
    <row r="333" spans="1:12" s="506" customFormat="1" ht="16.5" x14ac:dyDescent="0.25">
      <c r="A333" s="504"/>
      <c r="B333" s="505" t="str">
        <f>[44]Source!H195</f>
        <v>Стоимость материальных ресурсов (всего)</v>
      </c>
      <c r="C333" s="505"/>
      <c r="D333" s="505"/>
      <c r="E333" s="505"/>
      <c r="F333" s="505"/>
      <c r="G333" s="505"/>
      <c r="H333" s="505"/>
      <c r="I333" s="505"/>
      <c r="J333" s="505"/>
      <c r="K333" s="816">
        <f>ROUND([44]Source!F195,2)</f>
        <v>175117.09</v>
      </c>
      <c r="L333" s="817"/>
    </row>
    <row r="334" spans="1:12" s="506" customFormat="1" ht="16.5" x14ac:dyDescent="0.25">
      <c r="A334" s="504"/>
      <c r="B334" s="505" t="str">
        <f>[44]Source!H204</f>
        <v>Эксплуатация машин</v>
      </c>
      <c r="C334" s="505"/>
      <c r="D334" s="505"/>
      <c r="E334" s="505"/>
      <c r="F334" s="505"/>
      <c r="G334" s="505"/>
      <c r="H334" s="505"/>
      <c r="I334" s="505"/>
      <c r="J334" s="505"/>
      <c r="K334" s="816">
        <f>ROUND([44]Source!F204,2)</f>
        <v>332984.31</v>
      </c>
      <c r="L334" s="817"/>
    </row>
    <row r="335" spans="1:12" s="506" customFormat="1" ht="16.5" x14ac:dyDescent="0.25">
      <c r="A335" s="504"/>
      <c r="B335" s="505" t="str">
        <f>[44]Source!H206</f>
        <v>ЗП машинистов</v>
      </c>
      <c r="C335" s="505"/>
      <c r="D335" s="505"/>
      <c r="E335" s="505"/>
      <c r="F335" s="505"/>
      <c r="G335" s="505"/>
      <c r="H335" s="505"/>
      <c r="I335" s="505"/>
      <c r="J335" s="505"/>
      <c r="K335" s="816">
        <f>ROUND([44]Source!F206,2)</f>
        <v>16351.25</v>
      </c>
      <c r="L335" s="817"/>
    </row>
    <row r="336" spans="1:12" s="506" customFormat="1" ht="16.5" x14ac:dyDescent="0.25">
      <c r="A336" s="504"/>
      <c r="B336" s="505" t="str">
        <f>[44]Source!H207</f>
        <v>Основная ЗП рабочих</v>
      </c>
      <c r="C336" s="505"/>
      <c r="D336" s="505"/>
      <c r="E336" s="505"/>
      <c r="F336" s="505"/>
      <c r="G336" s="505"/>
      <c r="H336" s="505"/>
      <c r="I336" s="505"/>
      <c r="J336" s="505"/>
      <c r="K336" s="816">
        <f>ROUND([44]Source!F207,2)</f>
        <v>2471.86</v>
      </c>
      <c r="L336" s="817"/>
    </row>
    <row r="337" spans="1:13" s="506" customFormat="1" ht="16.5" x14ac:dyDescent="0.25">
      <c r="A337" s="504"/>
      <c r="B337" s="505" t="str">
        <f>[44]Source!H209</f>
        <v>Строительные работы с НР и СП</v>
      </c>
      <c r="C337" s="505"/>
      <c r="D337" s="505"/>
      <c r="E337" s="505"/>
      <c r="F337" s="505"/>
      <c r="G337" s="505"/>
      <c r="H337" s="505"/>
      <c r="I337" s="505"/>
      <c r="J337" s="505"/>
      <c r="K337" s="816">
        <f>ROUND([44]Source!F209,2)</f>
        <v>532435.79</v>
      </c>
      <c r="L337" s="817"/>
    </row>
    <row r="338" spans="1:13" s="506" customFormat="1" ht="16.5" x14ac:dyDescent="0.25">
      <c r="A338" s="504"/>
      <c r="B338" s="505" t="str">
        <f>[44]Source!H210</f>
        <v>Монтажные работы с НР и СП</v>
      </c>
      <c r="C338" s="505"/>
      <c r="D338" s="505"/>
      <c r="E338" s="505"/>
      <c r="F338" s="505"/>
      <c r="G338" s="505"/>
      <c r="H338" s="505"/>
      <c r="I338" s="505"/>
      <c r="J338" s="505"/>
      <c r="K338" s="816">
        <f>ROUND([44]Source!F210,2)</f>
        <v>3203.38</v>
      </c>
      <c r="L338" s="817"/>
    </row>
    <row r="339" spans="1:13" s="506" customFormat="1" ht="16.5" x14ac:dyDescent="0.25">
      <c r="A339" s="504"/>
      <c r="B339" s="505" t="str">
        <f>[44]Source!H211</f>
        <v>Прочие работы с НР и СП</v>
      </c>
      <c r="C339" s="505"/>
      <c r="D339" s="505"/>
      <c r="E339" s="505"/>
      <c r="F339" s="505"/>
      <c r="G339" s="505"/>
      <c r="H339" s="505"/>
      <c r="I339" s="505"/>
      <c r="J339" s="505"/>
      <c r="K339" s="816">
        <f>ROUND([44]Source!F211,2)</f>
        <v>227.84</v>
      </c>
      <c r="L339" s="817"/>
    </row>
    <row r="340" spans="1:13" s="506" customFormat="1" ht="16.5" x14ac:dyDescent="0.25">
      <c r="A340" s="504"/>
      <c r="B340" s="505" t="str">
        <f>[44]Source!H214</f>
        <v>Трудозатраты строителей</v>
      </c>
      <c r="C340" s="505"/>
      <c r="D340" s="505"/>
      <c r="E340" s="505"/>
      <c r="F340" s="505"/>
      <c r="G340" s="505"/>
      <c r="H340" s="505"/>
      <c r="I340" s="505"/>
      <c r="J340" s="505"/>
      <c r="K340" s="816">
        <f>ROUND([44]Source!F214,2)</f>
        <v>263.18</v>
      </c>
      <c r="L340" s="817"/>
    </row>
    <row r="341" spans="1:13" s="506" customFormat="1" ht="16.5" x14ac:dyDescent="0.25">
      <c r="A341" s="504"/>
      <c r="B341" s="505" t="str">
        <f>[44]Source!H215</f>
        <v>Трудозатраты машинистов</v>
      </c>
      <c r="C341" s="505"/>
      <c r="D341" s="505"/>
      <c r="E341" s="505"/>
      <c r="F341" s="505"/>
      <c r="G341" s="505"/>
      <c r="H341" s="505"/>
      <c r="I341" s="505"/>
      <c r="J341" s="505"/>
      <c r="K341" s="816">
        <f>ROUND([44]Source!F215,2)</f>
        <v>1346.27</v>
      </c>
      <c r="L341" s="817"/>
    </row>
    <row r="342" spans="1:13" s="506" customFormat="1" ht="16.5" x14ac:dyDescent="0.25">
      <c r="A342" s="504"/>
      <c r="B342" s="505" t="str">
        <f>[44]Source!H217</f>
        <v>Накладные расходы</v>
      </c>
      <c r="C342" s="505"/>
      <c r="D342" s="505"/>
      <c r="E342" s="505"/>
      <c r="F342" s="505"/>
      <c r="G342" s="505"/>
      <c r="H342" s="505"/>
      <c r="I342" s="505"/>
      <c r="J342" s="505"/>
      <c r="K342" s="816">
        <f>ROUND([44]Source!F217,2)</f>
        <v>15659.22</v>
      </c>
      <c r="L342" s="817"/>
    </row>
    <row r="343" spans="1:13" s="506" customFormat="1" ht="16.5" x14ac:dyDescent="0.25">
      <c r="A343" s="504"/>
      <c r="B343" s="505" t="str">
        <f>[44]Source!H218</f>
        <v>Сметная прибыль</v>
      </c>
      <c r="C343" s="505"/>
      <c r="D343" s="505"/>
      <c r="E343" s="505"/>
      <c r="F343" s="505"/>
      <c r="G343" s="505"/>
      <c r="H343" s="505"/>
      <c r="I343" s="505"/>
      <c r="J343" s="505"/>
      <c r="K343" s="816">
        <f>ROUND([44]Source!F218,2)</f>
        <v>9634.5300000000007</v>
      </c>
      <c r="L343" s="817"/>
    </row>
    <row r="344" spans="1:13" s="506" customFormat="1" ht="16.5" x14ac:dyDescent="0.25">
      <c r="A344" s="504"/>
      <c r="B344" s="505" t="str">
        <f>[44]Source!H219</f>
        <v>Всего с НР и СП</v>
      </c>
      <c r="C344" s="505"/>
      <c r="D344" s="505"/>
      <c r="E344" s="505"/>
      <c r="F344" s="505"/>
      <c r="G344" s="505"/>
      <c r="H344" s="505"/>
      <c r="I344" s="505"/>
      <c r="J344" s="505"/>
      <c r="K344" s="816">
        <f>ROUND([44]Source!F219,2)</f>
        <v>535867.01</v>
      </c>
      <c r="L344" s="817"/>
    </row>
    <row r="345" spans="1:13" s="506" customFormat="1" ht="16.5" x14ac:dyDescent="0.25">
      <c r="A345" s="504"/>
      <c r="B345" s="505" t="str">
        <f>[44]Source!H220</f>
        <v>Итого</v>
      </c>
      <c r="C345" s="505"/>
      <c r="D345" s="505"/>
      <c r="E345" s="505"/>
      <c r="F345" s="505"/>
      <c r="G345" s="505"/>
      <c r="H345" s="505"/>
      <c r="I345" s="505"/>
      <c r="J345" s="505"/>
      <c r="K345" s="816">
        <f>ROUND([44]Source!F220,2)</f>
        <v>535867.01</v>
      </c>
      <c r="L345" s="817"/>
      <c r="M345" s="520">
        <f>K277+K327</f>
        <v>2651.9900000000002</v>
      </c>
    </row>
    <row r="346" spans="1:13" s="506" customFormat="1" ht="16.5" hidden="1" x14ac:dyDescent="0.25">
      <c r="A346" s="504"/>
      <c r="B346" s="505" t="str">
        <f>[44]Source!H221</f>
        <v>ТЗР 6,5%</v>
      </c>
      <c r="C346" s="505"/>
      <c r="D346" s="505"/>
      <c r="E346" s="505"/>
      <c r="F346" s="505"/>
      <c r="G346" s="505"/>
      <c r="H346" s="505"/>
      <c r="I346" s="505"/>
      <c r="J346" s="505"/>
      <c r="K346" s="816">
        <f>ROUND([44]Source!F221,2)</f>
        <v>0</v>
      </c>
      <c r="L346" s="817"/>
    </row>
    <row r="347" spans="1:13" s="506" customFormat="1" ht="16.5" hidden="1" x14ac:dyDescent="0.25">
      <c r="A347" s="504"/>
      <c r="B347" s="505" t="str">
        <f>[44]Source!H222</f>
        <v>ТЗР 11%</v>
      </c>
      <c r="C347" s="505"/>
      <c r="D347" s="505"/>
      <c r="E347" s="505"/>
      <c r="F347" s="505"/>
      <c r="G347" s="505"/>
      <c r="H347" s="505"/>
      <c r="I347" s="505"/>
      <c r="J347" s="505"/>
      <c r="K347" s="816">
        <f>ROUND([44]Source!F222,2)</f>
        <v>0</v>
      </c>
      <c r="L347" s="817"/>
    </row>
    <row r="348" spans="1:13" s="506" customFormat="1" ht="16.5" hidden="1" x14ac:dyDescent="0.25">
      <c r="A348" s="504"/>
      <c r="B348" s="505" t="str">
        <f>[44]Source!H223</f>
        <v>Всего</v>
      </c>
      <c r="C348" s="505"/>
      <c r="D348" s="505"/>
      <c r="E348" s="505"/>
      <c r="F348" s="505"/>
      <c r="G348" s="505"/>
      <c r="H348" s="505"/>
      <c r="I348" s="505"/>
      <c r="J348" s="505"/>
      <c r="K348" s="816">
        <f>ROUND([44]Source!F223,2)</f>
        <v>535867.01</v>
      </c>
      <c r="L348" s="817"/>
    </row>
    <row r="349" spans="1:13" x14ac:dyDescent="0.25">
      <c r="A349" s="474"/>
      <c r="L349" s="475"/>
      <c r="M349" s="521">
        <f>K345-M345</f>
        <v>533215.02</v>
      </c>
    </row>
    <row r="350" spans="1:13" x14ac:dyDescent="0.25">
      <c r="A350" s="474"/>
      <c r="L350" s="475"/>
    </row>
    <row r="351" spans="1:13" x14ac:dyDescent="0.25">
      <c r="A351" s="474"/>
      <c r="L351" s="475"/>
    </row>
    <row r="352" spans="1:13" ht="20.100000000000001" customHeight="1" x14ac:dyDescent="0.25">
      <c r="A352" s="474"/>
      <c r="B352" s="522" t="s">
        <v>341</v>
      </c>
      <c r="L352" s="475"/>
    </row>
    <row r="353" spans="1:12" ht="20.100000000000001" customHeight="1" x14ac:dyDescent="0.25">
      <c r="A353" s="474"/>
      <c r="B353" s="466">
        <f>[44]Source!AC12</f>
        <v>0</v>
      </c>
      <c r="C353" s="460" t="str">
        <f>CONCATENATE(" _______________________ ",[44]Source!AB12)</f>
        <v xml:space="preserve"> _______________________ </v>
      </c>
      <c r="L353" s="475"/>
    </row>
    <row r="354" spans="1:12" x14ac:dyDescent="0.25">
      <c r="A354" s="474"/>
      <c r="L354" s="475"/>
    </row>
    <row r="355" spans="1:12" ht="20.100000000000001" customHeight="1" x14ac:dyDescent="0.25">
      <c r="A355" s="823" t="s">
        <v>342</v>
      </c>
      <c r="B355" s="824"/>
      <c r="L355" s="475"/>
    </row>
    <row r="356" spans="1:12" x14ac:dyDescent="0.2">
      <c r="A356" s="474"/>
      <c r="B356" s="523">
        <f>[44]Source!AE12</f>
        <v>0</v>
      </c>
      <c r="C356" s="524" t="str">
        <f>CONCATENATE(" _______________________ ",[44]Source!AD12)</f>
        <v xml:space="preserve"> _______________________ </v>
      </c>
      <c r="L356" s="475"/>
    </row>
    <row r="357" spans="1:12" x14ac:dyDescent="0.25">
      <c r="A357" s="518"/>
      <c r="B357" s="525"/>
      <c r="C357" s="525"/>
      <c r="D357" s="525"/>
      <c r="E357" s="525"/>
      <c r="F357" s="525"/>
      <c r="G357" s="525"/>
      <c r="H357" s="525"/>
      <c r="I357" s="525"/>
      <c r="J357" s="525"/>
      <c r="K357" s="525"/>
      <c r="L357" s="526"/>
    </row>
  </sheetData>
  <mergeCells count="80">
    <mergeCell ref="K346:L346"/>
    <mergeCell ref="K347:L347"/>
    <mergeCell ref="K348:L348"/>
    <mergeCell ref="A355:B355"/>
    <mergeCell ref="K340:L340"/>
    <mergeCell ref="K341:L341"/>
    <mergeCell ref="K342:L342"/>
    <mergeCell ref="K343:L343"/>
    <mergeCell ref="K344:L344"/>
    <mergeCell ref="K345:L345"/>
    <mergeCell ref="K339:L339"/>
    <mergeCell ref="K324:L324"/>
    <mergeCell ref="K325:L325"/>
    <mergeCell ref="K326:L326"/>
    <mergeCell ref="K327:L327"/>
    <mergeCell ref="K332:L332"/>
    <mergeCell ref="K333:L333"/>
    <mergeCell ref="K334:L334"/>
    <mergeCell ref="K335:L335"/>
    <mergeCell ref="K336:L336"/>
    <mergeCell ref="K337:L337"/>
    <mergeCell ref="K338:L338"/>
    <mergeCell ref="K323:L323"/>
    <mergeCell ref="K273:L273"/>
    <mergeCell ref="K274:L274"/>
    <mergeCell ref="K275:L275"/>
    <mergeCell ref="K276:L276"/>
    <mergeCell ref="K277:L277"/>
    <mergeCell ref="K318:L318"/>
    <mergeCell ref="K319:L319"/>
    <mergeCell ref="K320:L320"/>
    <mergeCell ref="K321:L321"/>
    <mergeCell ref="K322:L322"/>
    <mergeCell ref="A279:B279"/>
    <mergeCell ref="K238:L238"/>
    <mergeCell ref="K239:L239"/>
    <mergeCell ref="A241:B241"/>
    <mergeCell ref="K270:L270"/>
    <mergeCell ref="K271:L271"/>
    <mergeCell ref="K272:L272"/>
    <mergeCell ref="A220:B220"/>
    <mergeCell ref="K233:L233"/>
    <mergeCell ref="K234:L234"/>
    <mergeCell ref="K235:L235"/>
    <mergeCell ref="K236:L236"/>
    <mergeCell ref="K237:L237"/>
    <mergeCell ref="K213:L213"/>
    <mergeCell ref="K214:L214"/>
    <mergeCell ref="K215:L215"/>
    <mergeCell ref="K216:L216"/>
    <mergeCell ref="K217:L217"/>
    <mergeCell ref="K218:L218"/>
    <mergeCell ref="K212:L212"/>
    <mergeCell ref="I24:I28"/>
    <mergeCell ref="J24:J28"/>
    <mergeCell ref="K24:K28"/>
    <mergeCell ref="L24:L28"/>
    <mergeCell ref="K207:L207"/>
    <mergeCell ref="K208:L208"/>
    <mergeCell ref="K209:L209"/>
    <mergeCell ref="K210:L210"/>
    <mergeCell ref="K211:L211"/>
    <mergeCell ref="A30:B30"/>
    <mergeCell ref="K206:L206"/>
    <mergeCell ref="A12:L12"/>
    <mergeCell ref="A13:L13"/>
    <mergeCell ref="A24:A28"/>
    <mergeCell ref="B24:B28"/>
    <mergeCell ref="C24:C28"/>
    <mergeCell ref="D24:D28"/>
    <mergeCell ref="E24:E28"/>
    <mergeCell ref="F24:F28"/>
    <mergeCell ref="G24:G28"/>
    <mergeCell ref="H24:H28"/>
    <mergeCell ref="A10:L10"/>
    <mergeCell ref="J3:L3"/>
    <mergeCell ref="J4:L4"/>
    <mergeCell ref="A7:L7"/>
    <mergeCell ref="A8:L8"/>
    <mergeCell ref="A9:L9"/>
  </mergeCells>
  <pageMargins left="0.44444444444444442" right="0.44444444444444442" top="0.46944444444444439" bottom="0.4" header="0.20833333333333334" footer="0.27777777777777779"/>
  <pageSetup paperSize="9" scale="72" orientation="landscape" r:id="rId1"/>
  <headerFooter>
    <oddHeader>&amp;L&amp;"Arial Cyr"&amp;7&amp;UПрограммные комплексы "Smeta.ru", "BabyСмета" (4822) 70-09-59&amp;R&amp;"Arial Cyr,обычный"&amp;7&amp;U18.01.2018 15:32:52   Страница &amp;P из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opLeftCell="A18" workbookViewId="0">
      <selection activeCell="G55" sqref="G55"/>
    </sheetView>
  </sheetViews>
  <sheetFormatPr defaultRowHeight="12.75" x14ac:dyDescent="0.25"/>
  <cols>
    <col min="1" max="1" width="9" style="334" customWidth="1"/>
    <col min="2" max="2" width="13.28515625" style="334" customWidth="1"/>
    <col min="3" max="3" width="43" style="334" customWidth="1"/>
    <col min="4" max="4" width="21" style="334" customWidth="1"/>
    <col min="5" max="5" width="15" style="334" customWidth="1"/>
    <col min="6" max="6" width="14.140625" style="334" customWidth="1"/>
    <col min="7" max="7" width="13.42578125" style="334" customWidth="1"/>
    <col min="8" max="8" width="15.5703125" style="334" customWidth="1"/>
    <col min="9" max="9" width="17.85546875" style="334" customWidth="1"/>
    <col min="10" max="10" width="11.5703125" style="334" bestFit="1" customWidth="1"/>
    <col min="11" max="11" width="10.5703125" style="334" customWidth="1"/>
    <col min="12" max="256" width="9.140625" style="334"/>
    <col min="257" max="257" width="9" style="334" customWidth="1"/>
    <col min="258" max="258" width="13.28515625" style="334" customWidth="1"/>
    <col min="259" max="259" width="43" style="334" customWidth="1"/>
    <col min="260" max="260" width="21" style="334" customWidth="1"/>
    <col min="261" max="261" width="15" style="334" customWidth="1"/>
    <col min="262" max="262" width="14.140625" style="334" customWidth="1"/>
    <col min="263" max="263" width="13.42578125" style="334" customWidth="1"/>
    <col min="264" max="264" width="15.5703125" style="334" customWidth="1"/>
    <col min="265" max="265" width="17.85546875" style="334" customWidth="1"/>
    <col min="266" max="266" width="11.5703125" style="334" bestFit="1" customWidth="1"/>
    <col min="267" max="267" width="10.5703125" style="334" customWidth="1"/>
    <col min="268" max="512" width="9.140625" style="334"/>
    <col min="513" max="513" width="9" style="334" customWidth="1"/>
    <col min="514" max="514" width="13.28515625" style="334" customWidth="1"/>
    <col min="515" max="515" width="43" style="334" customWidth="1"/>
    <col min="516" max="516" width="21" style="334" customWidth="1"/>
    <col min="517" max="517" width="15" style="334" customWidth="1"/>
    <col min="518" max="518" width="14.140625" style="334" customWidth="1"/>
    <col min="519" max="519" width="13.42578125" style="334" customWidth="1"/>
    <col min="520" max="520" width="15.5703125" style="334" customWidth="1"/>
    <col min="521" max="521" width="17.85546875" style="334" customWidth="1"/>
    <col min="522" max="522" width="11.5703125" style="334" bestFit="1" customWidth="1"/>
    <col min="523" max="523" width="10.5703125" style="334" customWidth="1"/>
    <col min="524" max="768" width="9.140625" style="334"/>
    <col min="769" max="769" width="9" style="334" customWidth="1"/>
    <col min="770" max="770" width="13.28515625" style="334" customWidth="1"/>
    <col min="771" max="771" width="43" style="334" customWidth="1"/>
    <col min="772" max="772" width="21" style="334" customWidth="1"/>
    <col min="773" max="773" width="15" style="334" customWidth="1"/>
    <col min="774" max="774" width="14.140625" style="334" customWidth="1"/>
    <col min="775" max="775" width="13.42578125" style="334" customWidth="1"/>
    <col min="776" max="776" width="15.5703125" style="334" customWidth="1"/>
    <col min="777" max="777" width="17.85546875" style="334" customWidth="1"/>
    <col min="778" max="778" width="11.5703125" style="334" bestFit="1" customWidth="1"/>
    <col min="779" max="779" width="10.5703125" style="334" customWidth="1"/>
    <col min="780" max="1024" width="9.140625" style="334"/>
    <col min="1025" max="1025" width="9" style="334" customWidth="1"/>
    <col min="1026" max="1026" width="13.28515625" style="334" customWidth="1"/>
    <col min="1027" max="1027" width="43" style="334" customWidth="1"/>
    <col min="1028" max="1028" width="21" style="334" customWidth="1"/>
    <col min="1029" max="1029" width="15" style="334" customWidth="1"/>
    <col min="1030" max="1030" width="14.140625" style="334" customWidth="1"/>
    <col min="1031" max="1031" width="13.42578125" style="334" customWidth="1"/>
    <col min="1032" max="1032" width="15.5703125" style="334" customWidth="1"/>
    <col min="1033" max="1033" width="17.85546875" style="334" customWidth="1"/>
    <col min="1034" max="1034" width="11.5703125" style="334" bestFit="1" customWidth="1"/>
    <col min="1035" max="1035" width="10.5703125" style="334" customWidth="1"/>
    <col min="1036" max="1280" width="9.140625" style="334"/>
    <col min="1281" max="1281" width="9" style="334" customWidth="1"/>
    <col min="1282" max="1282" width="13.28515625" style="334" customWidth="1"/>
    <col min="1283" max="1283" width="43" style="334" customWidth="1"/>
    <col min="1284" max="1284" width="21" style="334" customWidth="1"/>
    <col min="1285" max="1285" width="15" style="334" customWidth="1"/>
    <col min="1286" max="1286" width="14.140625" style="334" customWidth="1"/>
    <col min="1287" max="1287" width="13.42578125" style="334" customWidth="1"/>
    <col min="1288" max="1288" width="15.5703125" style="334" customWidth="1"/>
    <col min="1289" max="1289" width="17.85546875" style="334" customWidth="1"/>
    <col min="1290" max="1290" width="11.5703125" style="334" bestFit="1" customWidth="1"/>
    <col min="1291" max="1291" width="10.5703125" style="334" customWidth="1"/>
    <col min="1292" max="1536" width="9.140625" style="334"/>
    <col min="1537" max="1537" width="9" style="334" customWidth="1"/>
    <col min="1538" max="1538" width="13.28515625" style="334" customWidth="1"/>
    <col min="1539" max="1539" width="43" style="334" customWidth="1"/>
    <col min="1540" max="1540" width="21" style="334" customWidth="1"/>
    <col min="1541" max="1541" width="15" style="334" customWidth="1"/>
    <col min="1542" max="1542" width="14.140625" style="334" customWidth="1"/>
    <col min="1543" max="1543" width="13.42578125" style="334" customWidth="1"/>
    <col min="1544" max="1544" width="15.5703125" style="334" customWidth="1"/>
    <col min="1545" max="1545" width="17.85546875" style="334" customWidth="1"/>
    <col min="1546" max="1546" width="11.5703125" style="334" bestFit="1" customWidth="1"/>
    <col min="1547" max="1547" width="10.5703125" style="334" customWidth="1"/>
    <col min="1548" max="1792" width="9.140625" style="334"/>
    <col min="1793" max="1793" width="9" style="334" customWidth="1"/>
    <col min="1794" max="1794" width="13.28515625" style="334" customWidth="1"/>
    <col min="1795" max="1795" width="43" style="334" customWidth="1"/>
    <col min="1796" max="1796" width="21" style="334" customWidth="1"/>
    <col min="1797" max="1797" width="15" style="334" customWidth="1"/>
    <col min="1798" max="1798" width="14.140625" style="334" customWidth="1"/>
    <col min="1799" max="1799" width="13.42578125" style="334" customWidth="1"/>
    <col min="1800" max="1800" width="15.5703125" style="334" customWidth="1"/>
    <col min="1801" max="1801" width="17.85546875" style="334" customWidth="1"/>
    <col min="1802" max="1802" width="11.5703125" style="334" bestFit="1" customWidth="1"/>
    <col min="1803" max="1803" width="10.5703125" style="334" customWidth="1"/>
    <col min="1804" max="2048" width="9.140625" style="334"/>
    <col min="2049" max="2049" width="9" style="334" customWidth="1"/>
    <col min="2050" max="2050" width="13.28515625" style="334" customWidth="1"/>
    <col min="2051" max="2051" width="43" style="334" customWidth="1"/>
    <col min="2052" max="2052" width="21" style="334" customWidth="1"/>
    <col min="2053" max="2053" width="15" style="334" customWidth="1"/>
    <col min="2054" max="2054" width="14.140625" style="334" customWidth="1"/>
    <col min="2055" max="2055" width="13.42578125" style="334" customWidth="1"/>
    <col min="2056" max="2056" width="15.5703125" style="334" customWidth="1"/>
    <col min="2057" max="2057" width="17.85546875" style="334" customWidth="1"/>
    <col min="2058" max="2058" width="11.5703125" style="334" bestFit="1" customWidth="1"/>
    <col min="2059" max="2059" width="10.5703125" style="334" customWidth="1"/>
    <col min="2060" max="2304" width="9.140625" style="334"/>
    <col min="2305" max="2305" width="9" style="334" customWidth="1"/>
    <col min="2306" max="2306" width="13.28515625" style="334" customWidth="1"/>
    <col min="2307" max="2307" width="43" style="334" customWidth="1"/>
    <col min="2308" max="2308" width="21" style="334" customWidth="1"/>
    <col min="2309" max="2309" width="15" style="334" customWidth="1"/>
    <col min="2310" max="2310" width="14.140625" style="334" customWidth="1"/>
    <col min="2311" max="2311" width="13.42578125" style="334" customWidth="1"/>
    <col min="2312" max="2312" width="15.5703125" style="334" customWidth="1"/>
    <col min="2313" max="2313" width="17.85546875" style="334" customWidth="1"/>
    <col min="2314" max="2314" width="11.5703125" style="334" bestFit="1" customWidth="1"/>
    <col min="2315" max="2315" width="10.5703125" style="334" customWidth="1"/>
    <col min="2316" max="2560" width="9.140625" style="334"/>
    <col min="2561" max="2561" width="9" style="334" customWidth="1"/>
    <col min="2562" max="2562" width="13.28515625" style="334" customWidth="1"/>
    <col min="2563" max="2563" width="43" style="334" customWidth="1"/>
    <col min="2564" max="2564" width="21" style="334" customWidth="1"/>
    <col min="2565" max="2565" width="15" style="334" customWidth="1"/>
    <col min="2566" max="2566" width="14.140625" style="334" customWidth="1"/>
    <col min="2567" max="2567" width="13.42578125" style="334" customWidth="1"/>
    <col min="2568" max="2568" width="15.5703125" style="334" customWidth="1"/>
    <col min="2569" max="2569" width="17.85546875" style="334" customWidth="1"/>
    <col min="2570" max="2570" width="11.5703125" style="334" bestFit="1" customWidth="1"/>
    <col min="2571" max="2571" width="10.5703125" style="334" customWidth="1"/>
    <col min="2572" max="2816" width="9.140625" style="334"/>
    <col min="2817" max="2817" width="9" style="334" customWidth="1"/>
    <col min="2818" max="2818" width="13.28515625" style="334" customWidth="1"/>
    <col min="2819" max="2819" width="43" style="334" customWidth="1"/>
    <col min="2820" max="2820" width="21" style="334" customWidth="1"/>
    <col min="2821" max="2821" width="15" style="334" customWidth="1"/>
    <col min="2822" max="2822" width="14.140625" style="334" customWidth="1"/>
    <col min="2823" max="2823" width="13.42578125" style="334" customWidth="1"/>
    <col min="2824" max="2824" width="15.5703125" style="334" customWidth="1"/>
    <col min="2825" max="2825" width="17.85546875" style="334" customWidth="1"/>
    <col min="2826" max="2826" width="11.5703125" style="334" bestFit="1" customWidth="1"/>
    <col min="2827" max="2827" width="10.5703125" style="334" customWidth="1"/>
    <col min="2828" max="3072" width="9.140625" style="334"/>
    <col min="3073" max="3073" width="9" style="334" customWidth="1"/>
    <col min="3074" max="3074" width="13.28515625" style="334" customWidth="1"/>
    <col min="3075" max="3075" width="43" style="334" customWidth="1"/>
    <col min="3076" max="3076" width="21" style="334" customWidth="1"/>
    <col min="3077" max="3077" width="15" style="334" customWidth="1"/>
    <col min="3078" max="3078" width="14.140625" style="334" customWidth="1"/>
    <col min="3079" max="3079" width="13.42578125" style="334" customWidth="1"/>
    <col min="3080" max="3080" width="15.5703125" style="334" customWidth="1"/>
    <col min="3081" max="3081" width="17.85546875" style="334" customWidth="1"/>
    <col min="3082" max="3082" width="11.5703125" style="334" bestFit="1" customWidth="1"/>
    <col min="3083" max="3083" width="10.5703125" style="334" customWidth="1"/>
    <col min="3084" max="3328" width="9.140625" style="334"/>
    <col min="3329" max="3329" width="9" style="334" customWidth="1"/>
    <col min="3330" max="3330" width="13.28515625" style="334" customWidth="1"/>
    <col min="3331" max="3331" width="43" style="334" customWidth="1"/>
    <col min="3332" max="3332" width="21" style="334" customWidth="1"/>
    <col min="3333" max="3333" width="15" style="334" customWidth="1"/>
    <col min="3334" max="3334" width="14.140625" style="334" customWidth="1"/>
    <col min="3335" max="3335" width="13.42578125" style="334" customWidth="1"/>
    <col min="3336" max="3336" width="15.5703125" style="334" customWidth="1"/>
    <col min="3337" max="3337" width="17.85546875" style="334" customWidth="1"/>
    <col min="3338" max="3338" width="11.5703125" style="334" bestFit="1" customWidth="1"/>
    <col min="3339" max="3339" width="10.5703125" style="334" customWidth="1"/>
    <col min="3340" max="3584" width="9.140625" style="334"/>
    <col min="3585" max="3585" width="9" style="334" customWidth="1"/>
    <col min="3586" max="3586" width="13.28515625" style="334" customWidth="1"/>
    <col min="3587" max="3587" width="43" style="334" customWidth="1"/>
    <col min="3588" max="3588" width="21" style="334" customWidth="1"/>
    <col min="3589" max="3589" width="15" style="334" customWidth="1"/>
    <col min="3590" max="3590" width="14.140625" style="334" customWidth="1"/>
    <col min="3591" max="3591" width="13.42578125" style="334" customWidth="1"/>
    <col min="3592" max="3592" width="15.5703125" style="334" customWidth="1"/>
    <col min="3593" max="3593" width="17.85546875" style="334" customWidth="1"/>
    <col min="3594" max="3594" width="11.5703125" style="334" bestFit="1" customWidth="1"/>
    <col min="3595" max="3595" width="10.5703125" style="334" customWidth="1"/>
    <col min="3596" max="3840" width="9.140625" style="334"/>
    <col min="3841" max="3841" width="9" style="334" customWidth="1"/>
    <col min="3842" max="3842" width="13.28515625" style="334" customWidth="1"/>
    <col min="3843" max="3843" width="43" style="334" customWidth="1"/>
    <col min="3844" max="3844" width="21" style="334" customWidth="1"/>
    <col min="3845" max="3845" width="15" style="334" customWidth="1"/>
    <col min="3846" max="3846" width="14.140625" style="334" customWidth="1"/>
    <col min="3847" max="3847" width="13.42578125" style="334" customWidth="1"/>
    <col min="3848" max="3848" width="15.5703125" style="334" customWidth="1"/>
    <col min="3849" max="3849" width="17.85546875" style="334" customWidth="1"/>
    <col min="3850" max="3850" width="11.5703125" style="334" bestFit="1" customWidth="1"/>
    <col min="3851" max="3851" width="10.5703125" style="334" customWidth="1"/>
    <col min="3852" max="4096" width="9.140625" style="334"/>
    <col min="4097" max="4097" width="9" style="334" customWidth="1"/>
    <col min="4098" max="4098" width="13.28515625" style="334" customWidth="1"/>
    <col min="4099" max="4099" width="43" style="334" customWidth="1"/>
    <col min="4100" max="4100" width="21" style="334" customWidth="1"/>
    <col min="4101" max="4101" width="15" style="334" customWidth="1"/>
    <col min="4102" max="4102" width="14.140625" style="334" customWidth="1"/>
    <col min="4103" max="4103" width="13.42578125" style="334" customWidth="1"/>
    <col min="4104" max="4104" width="15.5703125" style="334" customWidth="1"/>
    <col min="4105" max="4105" width="17.85546875" style="334" customWidth="1"/>
    <col min="4106" max="4106" width="11.5703125" style="334" bestFit="1" customWidth="1"/>
    <col min="4107" max="4107" width="10.5703125" style="334" customWidth="1"/>
    <col min="4108" max="4352" width="9.140625" style="334"/>
    <col min="4353" max="4353" width="9" style="334" customWidth="1"/>
    <col min="4354" max="4354" width="13.28515625" style="334" customWidth="1"/>
    <col min="4355" max="4355" width="43" style="334" customWidth="1"/>
    <col min="4356" max="4356" width="21" style="334" customWidth="1"/>
    <col min="4357" max="4357" width="15" style="334" customWidth="1"/>
    <col min="4358" max="4358" width="14.140625" style="334" customWidth="1"/>
    <col min="4359" max="4359" width="13.42578125" style="334" customWidth="1"/>
    <col min="4360" max="4360" width="15.5703125" style="334" customWidth="1"/>
    <col min="4361" max="4361" width="17.85546875" style="334" customWidth="1"/>
    <col min="4362" max="4362" width="11.5703125" style="334" bestFit="1" customWidth="1"/>
    <col min="4363" max="4363" width="10.5703125" style="334" customWidth="1"/>
    <col min="4364" max="4608" width="9.140625" style="334"/>
    <col min="4609" max="4609" width="9" style="334" customWidth="1"/>
    <col min="4610" max="4610" width="13.28515625" style="334" customWidth="1"/>
    <col min="4611" max="4611" width="43" style="334" customWidth="1"/>
    <col min="4612" max="4612" width="21" style="334" customWidth="1"/>
    <col min="4613" max="4613" width="15" style="334" customWidth="1"/>
    <col min="4614" max="4614" width="14.140625" style="334" customWidth="1"/>
    <col min="4615" max="4615" width="13.42578125" style="334" customWidth="1"/>
    <col min="4616" max="4616" width="15.5703125" style="334" customWidth="1"/>
    <col min="4617" max="4617" width="17.85546875" style="334" customWidth="1"/>
    <col min="4618" max="4618" width="11.5703125" style="334" bestFit="1" customWidth="1"/>
    <col min="4619" max="4619" width="10.5703125" style="334" customWidth="1"/>
    <col min="4620" max="4864" width="9.140625" style="334"/>
    <col min="4865" max="4865" width="9" style="334" customWidth="1"/>
    <col min="4866" max="4866" width="13.28515625" style="334" customWidth="1"/>
    <col min="4867" max="4867" width="43" style="334" customWidth="1"/>
    <col min="4868" max="4868" width="21" style="334" customWidth="1"/>
    <col min="4869" max="4869" width="15" style="334" customWidth="1"/>
    <col min="4870" max="4870" width="14.140625" style="334" customWidth="1"/>
    <col min="4871" max="4871" width="13.42578125" style="334" customWidth="1"/>
    <col min="4872" max="4872" width="15.5703125" style="334" customWidth="1"/>
    <col min="4873" max="4873" width="17.85546875" style="334" customWidth="1"/>
    <col min="4874" max="4874" width="11.5703125" style="334" bestFit="1" customWidth="1"/>
    <col min="4875" max="4875" width="10.5703125" style="334" customWidth="1"/>
    <col min="4876" max="5120" width="9.140625" style="334"/>
    <col min="5121" max="5121" width="9" style="334" customWidth="1"/>
    <col min="5122" max="5122" width="13.28515625" style="334" customWidth="1"/>
    <col min="5123" max="5123" width="43" style="334" customWidth="1"/>
    <col min="5124" max="5124" width="21" style="334" customWidth="1"/>
    <col min="5125" max="5125" width="15" style="334" customWidth="1"/>
    <col min="5126" max="5126" width="14.140625" style="334" customWidth="1"/>
    <col min="5127" max="5127" width="13.42578125" style="334" customWidth="1"/>
    <col min="5128" max="5128" width="15.5703125" style="334" customWidth="1"/>
    <col min="5129" max="5129" width="17.85546875" style="334" customWidth="1"/>
    <col min="5130" max="5130" width="11.5703125" style="334" bestFit="1" customWidth="1"/>
    <col min="5131" max="5131" width="10.5703125" style="334" customWidth="1"/>
    <col min="5132" max="5376" width="9.140625" style="334"/>
    <col min="5377" max="5377" width="9" style="334" customWidth="1"/>
    <col min="5378" max="5378" width="13.28515625" style="334" customWidth="1"/>
    <col min="5379" max="5379" width="43" style="334" customWidth="1"/>
    <col min="5380" max="5380" width="21" style="334" customWidth="1"/>
    <col min="5381" max="5381" width="15" style="334" customWidth="1"/>
    <col min="5382" max="5382" width="14.140625" style="334" customWidth="1"/>
    <col min="5383" max="5383" width="13.42578125" style="334" customWidth="1"/>
    <col min="5384" max="5384" width="15.5703125" style="334" customWidth="1"/>
    <col min="5385" max="5385" width="17.85546875" style="334" customWidth="1"/>
    <col min="5386" max="5386" width="11.5703125" style="334" bestFit="1" customWidth="1"/>
    <col min="5387" max="5387" width="10.5703125" style="334" customWidth="1"/>
    <col min="5388" max="5632" width="9.140625" style="334"/>
    <col min="5633" max="5633" width="9" style="334" customWidth="1"/>
    <col min="5634" max="5634" width="13.28515625" style="334" customWidth="1"/>
    <col min="5635" max="5635" width="43" style="334" customWidth="1"/>
    <col min="5636" max="5636" width="21" style="334" customWidth="1"/>
    <col min="5637" max="5637" width="15" style="334" customWidth="1"/>
    <col min="5638" max="5638" width="14.140625" style="334" customWidth="1"/>
    <col min="5639" max="5639" width="13.42578125" style="334" customWidth="1"/>
    <col min="5640" max="5640" width="15.5703125" style="334" customWidth="1"/>
    <col min="5641" max="5641" width="17.85546875" style="334" customWidth="1"/>
    <col min="5642" max="5642" width="11.5703125" style="334" bestFit="1" customWidth="1"/>
    <col min="5643" max="5643" width="10.5703125" style="334" customWidth="1"/>
    <col min="5644" max="5888" width="9.140625" style="334"/>
    <col min="5889" max="5889" width="9" style="334" customWidth="1"/>
    <col min="5890" max="5890" width="13.28515625" style="334" customWidth="1"/>
    <col min="5891" max="5891" width="43" style="334" customWidth="1"/>
    <col min="5892" max="5892" width="21" style="334" customWidth="1"/>
    <col min="5893" max="5893" width="15" style="334" customWidth="1"/>
    <col min="5894" max="5894" width="14.140625" style="334" customWidth="1"/>
    <col min="5895" max="5895" width="13.42578125" style="334" customWidth="1"/>
    <col min="5896" max="5896" width="15.5703125" style="334" customWidth="1"/>
    <col min="5897" max="5897" width="17.85546875" style="334" customWidth="1"/>
    <col min="5898" max="5898" width="11.5703125" style="334" bestFit="1" customWidth="1"/>
    <col min="5899" max="5899" width="10.5703125" style="334" customWidth="1"/>
    <col min="5900" max="6144" width="9.140625" style="334"/>
    <col min="6145" max="6145" width="9" style="334" customWidth="1"/>
    <col min="6146" max="6146" width="13.28515625" style="334" customWidth="1"/>
    <col min="6147" max="6147" width="43" style="334" customWidth="1"/>
    <col min="6148" max="6148" width="21" style="334" customWidth="1"/>
    <col min="6149" max="6149" width="15" style="334" customWidth="1"/>
    <col min="6150" max="6150" width="14.140625" style="334" customWidth="1"/>
    <col min="6151" max="6151" width="13.42578125" style="334" customWidth="1"/>
    <col min="6152" max="6152" width="15.5703125" style="334" customWidth="1"/>
    <col min="6153" max="6153" width="17.85546875" style="334" customWidth="1"/>
    <col min="6154" max="6154" width="11.5703125" style="334" bestFit="1" customWidth="1"/>
    <col min="6155" max="6155" width="10.5703125" style="334" customWidth="1"/>
    <col min="6156" max="6400" width="9.140625" style="334"/>
    <col min="6401" max="6401" width="9" style="334" customWidth="1"/>
    <col min="6402" max="6402" width="13.28515625" style="334" customWidth="1"/>
    <col min="6403" max="6403" width="43" style="334" customWidth="1"/>
    <col min="6404" max="6404" width="21" style="334" customWidth="1"/>
    <col min="6405" max="6405" width="15" style="334" customWidth="1"/>
    <col min="6406" max="6406" width="14.140625" style="334" customWidth="1"/>
    <col min="6407" max="6407" width="13.42578125" style="334" customWidth="1"/>
    <col min="6408" max="6408" width="15.5703125" style="334" customWidth="1"/>
    <col min="6409" max="6409" width="17.85546875" style="334" customWidth="1"/>
    <col min="6410" max="6410" width="11.5703125" style="334" bestFit="1" customWidth="1"/>
    <col min="6411" max="6411" width="10.5703125" style="334" customWidth="1"/>
    <col min="6412" max="6656" width="9.140625" style="334"/>
    <col min="6657" max="6657" width="9" style="334" customWidth="1"/>
    <col min="6658" max="6658" width="13.28515625" style="334" customWidth="1"/>
    <col min="6659" max="6659" width="43" style="334" customWidth="1"/>
    <col min="6660" max="6660" width="21" style="334" customWidth="1"/>
    <col min="6661" max="6661" width="15" style="334" customWidth="1"/>
    <col min="6662" max="6662" width="14.140625" style="334" customWidth="1"/>
    <col min="6663" max="6663" width="13.42578125" style="334" customWidth="1"/>
    <col min="6664" max="6664" width="15.5703125" style="334" customWidth="1"/>
    <col min="6665" max="6665" width="17.85546875" style="334" customWidth="1"/>
    <col min="6666" max="6666" width="11.5703125" style="334" bestFit="1" customWidth="1"/>
    <col min="6667" max="6667" width="10.5703125" style="334" customWidth="1"/>
    <col min="6668" max="6912" width="9.140625" style="334"/>
    <col min="6913" max="6913" width="9" style="334" customWidth="1"/>
    <col min="6914" max="6914" width="13.28515625" style="334" customWidth="1"/>
    <col min="6915" max="6915" width="43" style="334" customWidth="1"/>
    <col min="6916" max="6916" width="21" style="334" customWidth="1"/>
    <col min="6917" max="6917" width="15" style="334" customWidth="1"/>
    <col min="6918" max="6918" width="14.140625" style="334" customWidth="1"/>
    <col min="6919" max="6919" width="13.42578125" style="334" customWidth="1"/>
    <col min="6920" max="6920" width="15.5703125" style="334" customWidth="1"/>
    <col min="6921" max="6921" width="17.85546875" style="334" customWidth="1"/>
    <col min="6922" max="6922" width="11.5703125" style="334" bestFit="1" customWidth="1"/>
    <col min="6923" max="6923" width="10.5703125" style="334" customWidth="1"/>
    <col min="6924" max="7168" width="9.140625" style="334"/>
    <col min="7169" max="7169" width="9" style="334" customWidth="1"/>
    <col min="7170" max="7170" width="13.28515625" style="334" customWidth="1"/>
    <col min="7171" max="7171" width="43" style="334" customWidth="1"/>
    <col min="7172" max="7172" width="21" style="334" customWidth="1"/>
    <col min="7173" max="7173" width="15" style="334" customWidth="1"/>
    <col min="7174" max="7174" width="14.140625" style="334" customWidth="1"/>
    <col min="7175" max="7175" width="13.42578125" style="334" customWidth="1"/>
    <col min="7176" max="7176" width="15.5703125" style="334" customWidth="1"/>
    <col min="7177" max="7177" width="17.85546875" style="334" customWidth="1"/>
    <col min="7178" max="7178" width="11.5703125" style="334" bestFit="1" customWidth="1"/>
    <col min="7179" max="7179" width="10.5703125" style="334" customWidth="1"/>
    <col min="7180" max="7424" width="9.140625" style="334"/>
    <col min="7425" max="7425" width="9" style="334" customWidth="1"/>
    <col min="7426" max="7426" width="13.28515625" style="334" customWidth="1"/>
    <col min="7427" max="7427" width="43" style="334" customWidth="1"/>
    <col min="7428" max="7428" width="21" style="334" customWidth="1"/>
    <col min="7429" max="7429" width="15" style="334" customWidth="1"/>
    <col min="7430" max="7430" width="14.140625" style="334" customWidth="1"/>
    <col min="7431" max="7431" width="13.42578125" style="334" customWidth="1"/>
    <col min="7432" max="7432" width="15.5703125" style="334" customWidth="1"/>
    <col min="7433" max="7433" width="17.85546875" style="334" customWidth="1"/>
    <col min="7434" max="7434" width="11.5703125" style="334" bestFit="1" customWidth="1"/>
    <col min="7435" max="7435" width="10.5703125" style="334" customWidth="1"/>
    <col min="7436" max="7680" width="9.140625" style="334"/>
    <col min="7681" max="7681" width="9" style="334" customWidth="1"/>
    <col min="7682" max="7682" width="13.28515625" style="334" customWidth="1"/>
    <col min="7683" max="7683" width="43" style="334" customWidth="1"/>
    <col min="7684" max="7684" width="21" style="334" customWidth="1"/>
    <col min="7685" max="7685" width="15" style="334" customWidth="1"/>
    <col min="7686" max="7686" width="14.140625" style="334" customWidth="1"/>
    <col min="7687" max="7687" width="13.42578125" style="334" customWidth="1"/>
    <col min="7688" max="7688" width="15.5703125" style="334" customWidth="1"/>
    <col min="7689" max="7689" width="17.85546875" style="334" customWidth="1"/>
    <col min="7690" max="7690" width="11.5703125" style="334" bestFit="1" customWidth="1"/>
    <col min="7691" max="7691" width="10.5703125" style="334" customWidth="1"/>
    <col min="7692" max="7936" width="9.140625" style="334"/>
    <col min="7937" max="7937" width="9" style="334" customWidth="1"/>
    <col min="7938" max="7938" width="13.28515625" style="334" customWidth="1"/>
    <col min="7939" max="7939" width="43" style="334" customWidth="1"/>
    <col min="7940" max="7940" width="21" style="334" customWidth="1"/>
    <col min="7941" max="7941" width="15" style="334" customWidth="1"/>
    <col min="7942" max="7942" width="14.140625" style="334" customWidth="1"/>
    <col min="7943" max="7943" width="13.42578125" style="334" customWidth="1"/>
    <col min="7944" max="7944" width="15.5703125" style="334" customWidth="1"/>
    <col min="7945" max="7945" width="17.85546875" style="334" customWidth="1"/>
    <col min="7946" max="7946" width="11.5703125" style="334" bestFit="1" customWidth="1"/>
    <col min="7947" max="7947" width="10.5703125" style="334" customWidth="1"/>
    <col min="7948" max="8192" width="9.140625" style="334"/>
    <col min="8193" max="8193" width="9" style="334" customWidth="1"/>
    <col min="8194" max="8194" width="13.28515625" style="334" customWidth="1"/>
    <col min="8195" max="8195" width="43" style="334" customWidth="1"/>
    <col min="8196" max="8196" width="21" style="334" customWidth="1"/>
    <col min="8197" max="8197" width="15" style="334" customWidth="1"/>
    <col min="8198" max="8198" width="14.140625" style="334" customWidth="1"/>
    <col min="8199" max="8199" width="13.42578125" style="334" customWidth="1"/>
    <col min="8200" max="8200" width="15.5703125" style="334" customWidth="1"/>
    <col min="8201" max="8201" width="17.85546875" style="334" customWidth="1"/>
    <col min="8202" max="8202" width="11.5703125" style="334" bestFit="1" customWidth="1"/>
    <col min="8203" max="8203" width="10.5703125" style="334" customWidth="1"/>
    <col min="8204" max="8448" width="9.140625" style="334"/>
    <col min="8449" max="8449" width="9" style="334" customWidth="1"/>
    <col min="8450" max="8450" width="13.28515625" style="334" customWidth="1"/>
    <col min="8451" max="8451" width="43" style="334" customWidth="1"/>
    <col min="8452" max="8452" width="21" style="334" customWidth="1"/>
    <col min="8453" max="8453" width="15" style="334" customWidth="1"/>
    <col min="8454" max="8454" width="14.140625" style="334" customWidth="1"/>
    <col min="8455" max="8455" width="13.42578125" style="334" customWidth="1"/>
    <col min="8456" max="8456" width="15.5703125" style="334" customWidth="1"/>
    <col min="8457" max="8457" width="17.85546875" style="334" customWidth="1"/>
    <col min="8458" max="8458" width="11.5703125" style="334" bestFit="1" customWidth="1"/>
    <col min="8459" max="8459" width="10.5703125" style="334" customWidth="1"/>
    <col min="8460" max="8704" width="9.140625" style="334"/>
    <col min="8705" max="8705" width="9" style="334" customWidth="1"/>
    <col min="8706" max="8706" width="13.28515625" style="334" customWidth="1"/>
    <col min="8707" max="8707" width="43" style="334" customWidth="1"/>
    <col min="8708" max="8708" width="21" style="334" customWidth="1"/>
    <col min="8709" max="8709" width="15" style="334" customWidth="1"/>
    <col min="8710" max="8710" width="14.140625" style="334" customWidth="1"/>
    <col min="8711" max="8711" width="13.42578125" style="334" customWidth="1"/>
    <col min="8712" max="8712" width="15.5703125" style="334" customWidth="1"/>
    <col min="8713" max="8713" width="17.85546875" style="334" customWidth="1"/>
    <col min="8714" max="8714" width="11.5703125" style="334" bestFit="1" customWidth="1"/>
    <col min="8715" max="8715" width="10.5703125" style="334" customWidth="1"/>
    <col min="8716" max="8960" width="9.140625" style="334"/>
    <col min="8961" max="8961" width="9" style="334" customWidth="1"/>
    <col min="8962" max="8962" width="13.28515625" style="334" customWidth="1"/>
    <col min="8963" max="8963" width="43" style="334" customWidth="1"/>
    <col min="8964" max="8964" width="21" style="334" customWidth="1"/>
    <col min="8965" max="8965" width="15" style="334" customWidth="1"/>
    <col min="8966" max="8966" width="14.140625" style="334" customWidth="1"/>
    <col min="8967" max="8967" width="13.42578125" style="334" customWidth="1"/>
    <col min="8968" max="8968" width="15.5703125" style="334" customWidth="1"/>
    <col min="8969" max="8969" width="17.85546875" style="334" customWidth="1"/>
    <col min="8970" max="8970" width="11.5703125" style="334" bestFit="1" customWidth="1"/>
    <col min="8971" max="8971" width="10.5703125" style="334" customWidth="1"/>
    <col min="8972" max="9216" width="9.140625" style="334"/>
    <col min="9217" max="9217" width="9" style="334" customWidth="1"/>
    <col min="9218" max="9218" width="13.28515625" style="334" customWidth="1"/>
    <col min="9219" max="9219" width="43" style="334" customWidth="1"/>
    <col min="9220" max="9220" width="21" style="334" customWidth="1"/>
    <col min="9221" max="9221" width="15" style="334" customWidth="1"/>
    <col min="9222" max="9222" width="14.140625" style="334" customWidth="1"/>
    <col min="9223" max="9223" width="13.42578125" style="334" customWidth="1"/>
    <col min="9224" max="9224" width="15.5703125" style="334" customWidth="1"/>
    <col min="9225" max="9225" width="17.85546875" style="334" customWidth="1"/>
    <col min="9226" max="9226" width="11.5703125" style="334" bestFit="1" customWidth="1"/>
    <col min="9227" max="9227" width="10.5703125" style="334" customWidth="1"/>
    <col min="9228" max="9472" width="9.140625" style="334"/>
    <col min="9473" max="9473" width="9" style="334" customWidth="1"/>
    <col min="9474" max="9474" width="13.28515625" style="334" customWidth="1"/>
    <col min="9475" max="9475" width="43" style="334" customWidth="1"/>
    <col min="9476" max="9476" width="21" style="334" customWidth="1"/>
    <col min="9477" max="9477" width="15" style="334" customWidth="1"/>
    <col min="9478" max="9478" width="14.140625" style="334" customWidth="1"/>
    <col min="9479" max="9479" width="13.42578125" style="334" customWidth="1"/>
    <col min="9480" max="9480" width="15.5703125" style="334" customWidth="1"/>
    <col min="9481" max="9481" width="17.85546875" style="334" customWidth="1"/>
    <col min="9482" max="9482" width="11.5703125" style="334" bestFit="1" customWidth="1"/>
    <col min="9483" max="9483" width="10.5703125" style="334" customWidth="1"/>
    <col min="9484" max="9728" width="9.140625" style="334"/>
    <col min="9729" max="9729" width="9" style="334" customWidth="1"/>
    <col min="9730" max="9730" width="13.28515625" style="334" customWidth="1"/>
    <col min="9731" max="9731" width="43" style="334" customWidth="1"/>
    <col min="9732" max="9732" width="21" style="334" customWidth="1"/>
    <col min="9733" max="9733" width="15" style="334" customWidth="1"/>
    <col min="9734" max="9734" width="14.140625" style="334" customWidth="1"/>
    <col min="9735" max="9735" width="13.42578125" style="334" customWidth="1"/>
    <col min="9736" max="9736" width="15.5703125" style="334" customWidth="1"/>
    <col min="9737" max="9737" width="17.85546875" style="334" customWidth="1"/>
    <col min="9738" max="9738" width="11.5703125" style="334" bestFit="1" customWidth="1"/>
    <col min="9739" max="9739" width="10.5703125" style="334" customWidth="1"/>
    <col min="9740" max="9984" width="9.140625" style="334"/>
    <col min="9985" max="9985" width="9" style="334" customWidth="1"/>
    <col min="9986" max="9986" width="13.28515625" style="334" customWidth="1"/>
    <col min="9987" max="9987" width="43" style="334" customWidth="1"/>
    <col min="9988" max="9988" width="21" style="334" customWidth="1"/>
    <col min="9989" max="9989" width="15" style="334" customWidth="1"/>
    <col min="9990" max="9990" width="14.140625" style="334" customWidth="1"/>
    <col min="9991" max="9991" width="13.42578125" style="334" customWidth="1"/>
    <col min="9992" max="9992" width="15.5703125" style="334" customWidth="1"/>
    <col min="9993" max="9993" width="17.85546875" style="334" customWidth="1"/>
    <col min="9994" max="9994" width="11.5703125" style="334" bestFit="1" customWidth="1"/>
    <col min="9995" max="9995" width="10.5703125" style="334" customWidth="1"/>
    <col min="9996" max="10240" width="9.140625" style="334"/>
    <col min="10241" max="10241" width="9" style="334" customWidth="1"/>
    <col min="10242" max="10242" width="13.28515625" style="334" customWidth="1"/>
    <col min="10243" max="10243" width="43" style="334" customWidth="1"/>
    <col min="10244" max="10244" width="21" style="334" customWidth="1"/>
    <col min="10245" max="10245" width="15" style="334" customWidth="1"/>
    <col min="10246" max="10246" width="14.140625" style="334" customWidth="1"/>
    <col min="10247" max="10247" width="13.42578125" style="334" customWidth="1"/>
    <col min="10248" max="10248" width="15.5703125" style="334" customWidth="1"/>
    <col min="10249" max="10249" width="17.85546875" style="334" customWidth="1"/>
    <col min="10250" max="10250" width="11.5703125" style="334" bestFit="1" customWidth="1"/>
    <col min="10251" max="10251" width="10.5703125" style="334" customWidth="1"/>
    <col min="10252" max="10496" width="9.140625" style="334"/>
    <col min="10497" max="10497" width="9" style="334" customWidth="1"/>
    <col min="10498" max="10498" width="13.28515625" style="334" customWidth="1"/>
    <col min="10499" max="10499" width="43" style="334" customWidth="1"/>
    <col min="10500" max="10500" width="21" style="334" customWidth="1"/>
    <col min="10501" max="10501" width="15" style="334" customWidth="1"/>
    <col min="10502" max="10502" width="14.140625" style="334" customWidth="1"/>
    <col min="10503" max="10503" width="13.42578125" style="334" customWidth="1"/>
    <col min="10504" max="10504" width="15.5703125" style="334" customWidth="1"/>
    <col min="10505" max="10505" width="17.85546875" style="334" customWidth="1"/>
    <col min="10506" max="10506" width="11.5703125" style="334" bestFit="1" customWidth="1"/>
    <col min="10507" max="10507" width="10.5703125" style="334" customWidth="1"/>
    <col min="10508" max="10752" width="9.140625" style="334"/>
    <col min="10753" max="10753" width="9" style="334" customWidth="1"/>
    <col min="10754" max="10754" width="13.28515625" style="334" customWidth="1"/>
    <col min="10755" max="10755" width="43" style="334" customWidth="1"/>
    <col min="10756" max="10756" width="21" style="334" customWidth="1"/>
    <col min="10757" max="10757" width="15" style="334" customWidth="1"/>
    <col min="10758" max="10758" width="14.140625" style="334" customWidth="1"/>
    <col min="10759" max="10759" width="13.42578125" style="334" customWidth="1"/>
    <col min="10760" max="10760" width="15.5703125" style="334" customWidth="1"/>
    <col min="10761" max="10761" width="17.85546875" style="334" customWidth="1"/>
    <col min="10762" max="10762" width="11.5703125" style="334" bestFit="1" customWidth="1"/>
    <col min="10763" max="10763" width="10.5703125" style="334" customWidth="1"/>
    <col min="10764" max="11008" width="9.140625" style="334"/>
    <col min="11009" max="11009" width="9" style="334" customWidth="1"/>
    <col min="11010" max="11010" width="13.28515625" style="334" customWidth="1"/>
    <col min="11011" max="11011" width="43" style="334" customWidth="1"/>
    <col min="11012" max="11012" width="21" style="334" customWidth="1"/>
    <col min="11013" max="11013" width="15" style="334" customWidth="1"/>
    <col min="11014" max="11014" width="14.140625" style="334" customWidth="1"/>
    <col min="11015" max="11015" width="13.42578125" style="334" customWidth="1"/>
    <col min="11016" max="11016" width="15.5703125" style="334" customWidth="1"/>
    <col min="11017" max="11017" width="17.85546875" style="334" customWidth="1"/>
    <col min="11018" max="11018" width="11.5703125" style="334" bestFit="1" customWidth="1"/>
    <col min="11019" max="11019" width="10.5703125" style="334" customWidth="1"/>
    <col min="11020" max="11264" width="9.140625" style="334"/>
    <col min="11265" max="11265" width="9" style="334" customWidth="1"/>
    <col min="11266" max="11266" width="13.28515625" style="334" customWidth="1"/>
    <col min="11267" max="11267" width="43" style="334" customWidth="1"/>
    <col min="11268" max="11268" width="21" style="334" customWidth="1"/>
    <col min="11269" max="11269" width="15" style="334" customWidth="1"/>
    <col min="11270" max="11270" width="14.140625" style="334" customWidth="1"/>
    <col min="11271" max="11271" width="13.42578125" style="334" customWidth="1"/>
    <col min="11272" max="11272" width="15.5703125" style="334" customWidth="1"/>
    <col min="11273" max="11273" width="17.85546875" style="334" customWidth="1"/>
    <col min="11274" max="11274" width="11.5703125" style="334" bestFit="1" customWidth="1"/>
    <col min="11275" max="11275" width="10.5703125" style="334" customWidth="1"/>
    <col min="11276" max="11520" width="9.140625" style="334"/>
    <col min="11521" max="11521" width="9" style="334" customWidth="1"/>
    <col min="11522" max="11522" width="13.28515625" style="334" customWidth="1"/>
    <col min="11523" max="11523" width="43" style="334" customWidth="1"/>
    <col min="11524" max="11524" width="21" style="334" customWidth="1"/>
    <col min="11525" max="11525" width="15" style="334" customWidth="1"/>
    <col min="11526" max="11526" width="14.140625" style="334" customWidth="1"/>
    <col min="11527" max="11527" width="13.42578125" style="334" customWidth="1"/>
    <col min="11528" max="11528" width="15.5703125" style="334" customWidth="1"/>
    <col min="11529" max="11529" width="17.85546875" style="334" customWidth="1"/>
    <col min="11530" max="11530" width="11.5703125" style="334" bestFit="1" customWidth="1"/>
    <col min="11531" max="11531" width="10.5703125" style="334" customWidth="1"/>
    <col min="11532" max="11776" width="9.140625" style="334"/>
    <col min="11777" max="11777" width="9" style="334" customWidth="1"/>
    <col min="11778" max="11778" width="13.28515625" style="334" customWidth="1"/>
    <col min="11779" max="11779" width="43" style="334" customWidth="1"/>
    <col min="11780" max="11780" width="21" style="334" customWidth="1"/>
    <col min="11781" max="11781" width="15" style="334" customWidth="1"/>
    <col min="11782" max="11782" width="14.140625" style="334" customWidth="1"/>
    <col min="11783" max="11783" width="13.42578125" style="334" customWidth="1"/>
    <col min="11784" max="11784" width="15.5703125" style="334" customWidth="1"/>
    <col min="11785" max="11785" width="17.85546875" style="334" customWidth="1"/>
    <col min="11786" max="11786" width="11.5703125" style="334" bestFit="1" customWidth="1"/>
    <col min="11787" max="11787" width="10.5703125" style="334" customWidth="1"/>
    <col min="11788" max="12032" width="9.140625" style="334"/>
    <col min="12033" max="12033" width="9" style="334" customWidth="1"/>
    <col min="12034" max="12034" width="13.28515625" style="334" customWidth="1"/>
    <col min="12035" max="12035" width="43" style="334" customWidth="1"/>
    <col min="12036" max="12036" width="21" style="334" customWidth="1"/>
    <col min="12037" max="12037" width="15" style="334" customWidth="1"/>
    <col min="12038" max="12038" width="14.140625" style="334" customWidth="1"/>
    <col min="12039" max="12039" width="13.42578125" style="334" customWidth="1"/>
    <col min="12040" max="12040" width="15.5703125" style="334" customWidth="1"/>
    <col min="12041" max="12041" width="17.85546875" style="334" customWidth="1"/>
    <col min="12042" max="12042" width="11.5703125" style="334" bestFit="1" customWidth="1"/>
    <col min="12043" max="12043" width="10.5703125" style="334" customWidth="1"/>
    <col min="12044" max="12288" width="9.140625" style="334"/>
    <col min="12289" max="12289" width="9" style="334" customWidth="1"/>
    <col min="12290" max="12290" width="13.28515625" style="334" customWidth="1"/>
    <col min="12291" max="12291" width="43" style="334" customWidth="1"/>
    <col min="12292" max="12292" width="21" style="334" customWidth="1"/>
    <col min="12293" max="12293" width="15" style="334" customWidth="1"/>
    <col min="12294" max="12294" width="14.140625" style="334" customWidth="1"/>
    <col min="12295" max="12295" width="13.42578125" style="334" customWidth="1"/>
    <col min="12296" max="12296" width="15.5703125" style="334" customWidth="1"/>
    <col min="12297" max="12297" width="17.85546875" style="334" customWidth="1"/>
    <col min="12298" max="12298" width="11.5703125" style="334" bestFit="1" customWidth="1"/>
    <col min="12299" max="12299" width="10.5703125" style="334" customWidth="1"/>
    <col min="12300" max="12544" width="9.140625" style="334"/>
    <col min="12545" max="12545" width="9" style="334" customWidth="1"/>
    <col min="12546" max="12546" width="13.28515625" style="334" customWidth="1"/>
    <col min="12547" max="12547" width="43" style="334" customWidth="1"/>
    <col min="12548" max="12548" width="21" style="334" customWidth="1"/>
    <col min="12549" max="12549" width="15" style="334" customWidth="1"/>
    <col min="12550" max="12550" width="14.140625" style="334" customWidth="1"/>
    <col min="12551" max="12551" width="13.42578125" style="334" customWidth="1"/>
    <col min="12552" max="12552" width="15.5703125" style="334" customWidth="1"/>
    <col min="12553" max="12553" width="17.85546875" style="334" customWidth="1"/>
    <col min="12554" max="12554" width="11.5703125" style="334" bestFit="1" customWidth="1"/>
    <col min="12555" max="12555" width="10.5703125" style="334" customWidth="1"/>
    <col min="12556" max="12800" width="9.140625" style="334"/>
    <col min="12801" max="12801" width="9" style="334" customWidth="1"/>
    <col min="12802" max="12802" width="13.28515625" style="334" customWidth="1"/>
    <col min="12803" max="12803" width="43" style="334" customWidth="1"/>
    <col min="12804" max="12804" width="21" style="334" customWidth="1"/>
    <col min="12805" max="12805" width="15" style="334" customWidth="1"/>
    <col min="12806" max="12806" width="14.140625" style="334" customWidth="1"/>
    <col min="12807" max="12807" width="13.42578125" style="334" customWidth="1"/>
    <col min="12808" max="12808" width="15.5703125" style="334" customWidth="1"/>
    <col min="12809" max="12809" width="17.85546875" style="334" customWidth="1"/>
    <col min="12810" max="12810" width="11.5703125" style="334" bestFit="1" customWidth="1"/>
    <col min="12811" max="12811" width="10.5703125" style="334" customWidth="1"/>
    <col min="12812" max="13056" width="9.140625" style="334"/>
    <col min="13057" max="13057" width="9" style="334" customWidth="1"/>
    <col min="13058" max="13058" width="13.28515625" style="334" customWidth="1"/>
    <col min="13059" max="13059" width="43" style="334" customWidth="1"/>
    <col min="13060" max="13060" width="21" style="334" customWidth="1"/>
    <col min="13061" max="13061" width="15" style="334" customWidth="1"/>
    <col min="13062" max="13062" width="14.140625" style="334" customWidth="1"/>
    <col min="13063" max="13063" width="13.42578125" style="334" customWidth="1"/>
    <col min="13064" max="13064" width="15.5703125" style="334" customWidth="1"/>
    <col min="13065" max="13065" width="17.85546875" style="334" customWidth="1"/>
    <col min="13066" max="13066" width="11.5703125" style="334" bestFit="1" customWidth="1"/>
    <col min="13067" max="13067" width="10.5703125" style="334" customWidth="1"/>
    <col min="13068" max="13312" width="9.140625" style="334"/>
    <col min="13313" max="13313" width="9" style="334" customWidth="1"/>
    <col min="13314" max="13314" width="13.28515625" style="334" customWidth="1"/>
    <col min="13315" max="13315" width="43" style="334" customWidth="1"/>
    <col min="13316" max="13316" width="21" style="334" customWidth="1"/>
    <col min="13317" max="13317" width="15" style="334" customWidth="1"/>
    <col min="13318" max="13318" width="14.140625" style="334" customWidth="1"/>
    <col min="13319" max="13319" width="13.42578125" style="334" customWidth="1"/>
    <col min="13320" max="13320" width="15.5703125" style="334" customWidth="1"/>
    <col min="13321" max="13321" width="17.85546875" style="334" customWidth="1"/>
    <col min="13322" max="13322" width="11.5703125" style="334" bestFit="1" customWidth="1"/>
    <col min="13323" max="13323" width="10.5703125" style="334" customWidth="1"/>
    <col min="13324" max="13568" width="9.140625" style="334"/>
    <col min="13569" max="13569" width="9" style="334" customWidth="1"/>
    <col min="13570" max="13570" width="13.28515625" style="334" customWidth="1"/>
    <col min="13571" max="13571" width="43" style="334" customWidth="1"/>
    <col min="13572" max="13572" width="21" style="334" customWidth="1"/>
    <col min="13573" max="13573" width="15" style="334" customWidth="1"/>
    <col min="13574" max="13574" width="14.140625" style="334" customWidth="1"/>
    <col min="13575" max="13575" width="13.42578125" style="334" customWidth="1"/>
    <col min="13576" max="13576" width="15.5703125" style="334" customWidth="1"/>
    <col min="13577" max="13577" width="17.85546875" style="334" customWidth="1"/>
    <col min="13578" max="13578" width="11.5703125" style="334" bestFit="1" customWidth="1"/>
    <col min="13579" max="13579" width="10.5703125" style="334" customWidth="1"/>
    <col min="13580" max="13824" width="9.140625" style="334"/>
    <col min="13825" max="13825" width="9" style="334" customWidth="1"/>
    <col min="13826" max="13826" width="13.28515625" style="334" customWidth="1"/>
    <col min="13827" max="13827" width="43" style="334" customWidth="1"/>
    <col min="13828" max="13828" width="21" style="334" customWidth="1"/>
    <col min="13829" max="13829" width="15" style="334" customWidth="1"/>
    <col min="13830" max="13830" width="14.140625" style="334" customWidth="1"/>
    <col min="13831" max="13831" width="13.42578125" style="334" customWidth="1"/>
    <col min="13832" max="13832" width="15.5703125" style="334" customWidth="1"/>
    <col min="13833" max="13833" width="17.85546875" style="334" customWidth="1"/>
    <col min="13834" max="13834" width="11.5703125" style="334" bestFit="1" customWidth="1"/>
    <col min="13835" max="13835" width="10.5703125" style="334" customWidth="1"/>
    <col min="13836" max="14080" width="9.140625" style="334"/>
    <col min="14081" max="14081" width="9" style="334" customWidth="1"/>
    <col min="14082" max="14082" width="13.28515625" style="334" customWidth="1"/>
    <col min="14083" max="14083" width="43" style="334" customWidth="1"/>
    <col min="14084" max="14084" width="21" style="334" customWidth="1"/>
    <col min="14085" max="14085" width="15" style="334" customWidth="1"/>
    <col min="14086" max="14086" width="14.140625" style="334" customWidth="1"/>
    <col min="14087" max="14087" width="13.42578125" style="334" customWidth="1"/>
    <col min="14088" max="14088" width="15.5703125" style="334" customWidth="1"/>
    <col min="14089" max="14089" width="17.85546875" style="334" customWidth="1"/>
    <col min="14090" max="14090" width="11.5703125" style="334" bestFit="1" customWidth="1"/>
    <col min="14091" max="14091" width="10.5703125" style="334" customWidth="1"/>
    <col min="14092" max="14336" width="9.140625" style="334"/>
    <col min="14337" max="14337" width="9" style="334" customWidth="1"/>
    <col min="14338" max="14338" width="13.28515625" style="334" customWidth="1"/>
    <col min="14339" max="14339" width="43" style="334" customWidth="1"/>
    <col min="14340" max="14340" width="21" style="334" customWidth="1"/>
    <col min="14341" max="14341" width="15" style="334" customWidth="1"/>
    <col min="14342" max="14342" width="14.140625" style="334" customWidth="1"/>
    <col min="14343" max="14343" width="13.42578125" style="334" customWidth="1"/>
    <col min="14344" max="14344" width="15.5703125" style="334" customWidth="1"/>
    <col min="14345" max="14345" width="17.85546875" style="334" customWidth="1"/>
    <col min="14346" max="14346" width="11.5703125" style="334" bestFit="1" customWidth="1"/>
    <col min="14347" max="14347" width="10.5703125" style="334" customWidth="1"/>
    <col min="14348" max="14592" width="9.140625" style="334"/>
    <col min="14593" max="14593" width="9" style="334" customWidth="1"/>
    <col min="14594" max="14594" width="13.28515625" style="334" customWidth="1"/>
    <col min="14595" max="14595" width="43" style="334" customWidth="1"/>
    <col min="14596" max="14596" width="21" style="334" customWidth="1"/>
    <col min="14597" max="14597" width="15" style="334" customWidth="1"/>
    <col min="14598" max="14598" width="14.140625" style="334" customWidth="1"/>
    <col min="14599" max="14599" width="13.42578125" style="334" customWidth="1"/>
    <col min="14600" max="14600" width="15.5703125" style="334" customWidth="1"/>
    <col min="14601" max="14601" width="17.85546875" style="334" customWidth="1"/>
    <col min="14602" max="14602" width="11.5703125" style="334" bestFit="1" customWidth="1"/>
    <col min="14603" max="14603" width="10.5703125" style="334" customWidth="1"/>
    <col min="14604" max="14848" width="9.140625" style="334"/>
    <col min="14849" max="14849" width="9" style="334" customWidth="1"/>
    <col min="14850" max="14850" width="13.28515625" style="334" customWidth="1"/>
    <col min="14851" max="14851" width="43" style="334" customWidth="1"/>
    <col min="14852" max="14852" width="21" style="334" customWidth="1"/>
    <col min="14853" max="14853" width="15" style="334" customWidth="1"/>
    <col min="14854" max="14854" width="14.140625" style="334" customWidth="1"/>
    <col min="14855" max="14855" width="13.42578125" style="334" customWidth="1"/>
    <col min="14856" max="14856" width="15.5703125" style="334" customWidth="1"/>
    <col min="14857" max="14857" width="17.85546875" style="334" customWidth="1"/>
    <col min="14858" max="14858" width="11.5703125" style="334" bestFit="1" customWidth="1"/>
    <col min="14859" max="14859" width="10.5703125" style="334" customWidth="1"/>
    <col min="14860" max="15104" width="9.140625" style="334"/>
    <col min="15105" max="15105" width="9" style="334" customWidth="1"/>
    <col min="15106" max="15106" width="13.28515625" style="334" customWidth="1"/>
    <col min="15107" max="15107" width="43" style="334" customWidth="1"/>
    <col min="15108" max="15108" width="21" style="334" customWidth="1"/>
    <col min="15109" max="15109" width="15" style="334" customWidth="1"/>
    <col min="15110" max="15110" width="14.140625" style="334" customWidth="1"/>
    <col min="15111" max="15111" width="13.42578125" style="334" customWidth="1"/>
    <col min="15112" max="15112" width="15.5703125" style="334" customWidth="1"/>
    <col min="15113" max="15113" width="17.85546875" style="334" customWidth="1"/>
    <col min="15114" max="15114" width="11.5703125" style="334" bestFit="1" customWidth="1"/>
    <col min="15115" max="15115" width="10.5703125" style="334" customWidth="1"/>
    <col min="15116" max="15360" width="9.140625" style="334"/>
    <col min="15361" max="15361" width="9" style="334" customWidth="1"/>
    <col min="15362" max="15362" width="13.28515625" style="334" customWidth="1"/>
    <col min="15363" max="15363" width="43" style="334" customWidth="1"/>
    <col min="15364" max="15364" width="21" style="334" customWidth="1"/>
    <col min="15365" max="15365" width="15" style="334" customWidth="1"/>
    <col min="15366" max="15366" width="14.140625" style="334" customWidth="1"/>
    <col min="15367" max="15367" width="13.42578125" style="334" customWidth="1"/>
    <col min="15368" max="15368" width="15.5703125" style="334" customWidth="1"/>
    <col min="15369" max="15369" width="17.85546875" style="334" customWidth="1"/>
    <col min="15370" max="15370" width="11.5703125" style="334" bestFit="1" customWidth="1"/>
    <col min="15371" max="15371" width="10.5703125" style="334" customWidth="1"/>
    <col min="15372" max="15616" width="9.140625" style="334"/>
    <col min="15617" max="15617" width="9" style="334" customWidth="1"/>
    <col min="15618" max="15618" width="13.28515625" style="334" customWidth="1"/>
    <col min="15619" max="15619" width="43" style="334" customWidth="1"/>
    <col min="15620" max="15620" width="21" style="334" customWidth="1"/>
    <col min="15621" max="15621" width="15" style="334" customWidth="1"/>
    <col min="15622" max="15622" width="14.140625" style="334" customWidth="1"/>
    <col min="15623" max="15623" width="13.42578125" style="334" customWidth="1"/>
    <col min="15624" max="15624" width="15.5703125" style="334" customWidth="1"/>
    <col min="15625" max="15625" width="17.85546875" style="334" customWidth="1"/>
    <col min="15626" max="15626" width="11.5703125" style="334" bestFit="1" customWidth="1"/>
    <col min="15627" max="15627" width="10.5703125" style="334" customWidth="1"/>
    <col min="15628" max="15872" width="9.140625" style="334"/>
    <col min="15873" max="15873" width="9" style="334" customWidth="1"/>
    <col min="15874" max="15874" width="13.28515625" style="334" customWidth="1"/>
    <col min="15875" max="15875" width="43" style="334" customWidth="1"/>
    <col min="15876" max="15876" width="21" style="334" customWidth="1"/>
    <col min="15877" max="15877" width="15" style="334" customWidth="1"/>
    <col min="15878" max="15878" width="14.140625" style="334" customWidth="1"/>
    <col min="15879" max="15879" width="13.42578125" style="334" customWidth="1"/>
    <col min="15880" max="15880" width="15.5703125" style="334" customWidth="1"/>
    <col min="15881" max="15881" width="17.85546875" style="334" customWidth="1"/>
    <col min="15882" max="15882" width="11.5703125" style="334" bestFit="1" customWidth="1"/>
    <col min="15883" max="15883" width="10.5703125" style="334" customWidth="1"/>
    <col min="15884" max="16128" width="9.140625" style="334"/>
    <col min="16129" max="16129" width="9" style="334" customWidth="1"/>
    <col min="16130" max="16130" width="13.28515625" style="334" customWidth="1"/>
    <col min="16131" max="16131" width="43" style="334" customWidth="1"/>
    <col min="16132" max="16132" width="21" style="334" customWidth="1"/>
    <col min="16133" max="16133" width="15" style="334" customWidth="1"/>
    <col min="16134" max="16134" width="14.140625" style="334" customWidth="1"/>
    <col min="16135" max="16135" width="13.42578125" style="334" customWidth="1"/>
    <col min="16136" max="16136" width="15.5703125" style="334" customWidth="1"/>
    <col min="16137" max="16137" width="17.85546875" style="334" customWidth="1"/>
    <col min="16138" max="16138" width="11.5703125" style="334" bestFit="1" customWidth="1"/>
    <col min="16139" max="16139" width="10.5703125" style="334" customWidth="1"/>
    <col min="16140" max="16384" width="9.140625" style="334"/>
  </cols>
  <sheetData>
    <row r="1" spans="1:9" hidden="1" x14ac:dyDescent="0.25">
      <c r="H1" s="335"/>
    </row>
    <row r="2" spans="1:9" ht="9.75" customHeight="1" x14ac:dyDescent="0.25">
      <c r="G2" s="335" t="s">
        <v>193</v>
      </c>
    </row>
    <row r="3" spans="1:9" x14ac:dyDescent="0.25">
      <c r="B3" s="336" t="s">
        <v>194</v>
      </c>
      <c r="C3" s="337"/>
      <c r="D3" s="337"/>
      <c r="E3" s="826" t="s">
        <v>195</v>
      </c>
      <c r="F3" s="826"/>
      <c r="G3" s="338"/>
      <c r="H3" s="335"/>
    </row>
    <row r="4" spans="1:9" ht="12" customHeight="1" x14ac:dyDescent="0.25">
      <c r="B4" s="336"/>
      <c r="C4" s="337"/>
      <c r="D4" s="339"/>
      <c r="E4" s="339"/>
      <c r="F4" s="827"/>
      <c r="G4" s="827"/>
      <c r="H4" s="827"/>
    </row>
    <row r="5" spans="1:9" ht="18" customHeight="1" x14ac:dyDescent="0.25">
      <c r="B5" s="340"/>
      <c r="C5" s="341"/>
      <c r="D5" s="339"/>
      <c r="E5" s="339"/>
      <c r="F5" s="827"/>
      <c r="G5" s="827"/>
      <c r="H5" s="827"/>
    </row>
    <row r="6" spans="1:9" ht="12.75" customHeight="1" x14ac:dyDescent="0.25">
      <c r="B6" s="828" t="s">
        <v>196</v>
      </c>
      <c r="C6" s="829"/>
      <c r="D6" s="829"/>
      <c r="E6" s="339"/>
      <c r="F6" s="827" t="s">
        <v>197</v>
      </c>
      <c r="G6" s="827"/>
      <c r="H6" s="827"/>
    </row>
    <row r="7" spans="1:9" x14ac:dyDescent="0.25">
      <c r="B7" s="342"/>
      <c r="C7" s="337"/>
      <c r="D7" s="337"/>
      <c r="E7" s="342"/>
      <c r="F7" s="339"/>
      <c r="G7" s="339"/>
      <c r="H7" s="335"/>
    </row>
    <row r="8" spans="1:9" x14ac:dyDescent="0.2">
      <c r="B8" s="342" t="s">
        <v>198</v>
      </c>
      <c r="C8" s="337"/>
      <c r="D8" s="337"/>
      <c r="E8" s="342"/>
      <c r="F8" s="342" t="s">
        <v>199</v>
      </c>
      <c r="G8" s="343"/>
      <c r="H8" s="335"/>
    </row>
    <row r="9" spans="1:9" x14ac:dyDescent="0.2">
      <c r="B9" s="343"/>
      <c r="C9" s="343"/>
      <c r="D9" s="343"/>
      <c r="E9" s="342"/>
      <c r="H9" s="335"/>
    </row>
    <row r="10" spans="1:9" ht="14.45" customHeight="1" x14ac:dyDescent="0.25">
      <c r="H10" s="335"/>
    </row>
    <row r="11" spans="1:9" ht="12.75" customHeight="1" x14ac:dyDescent="0.25">
      <c r="F11" s="344"/>
    </row>
    <row r="12" spans="1:9" x14ac:dyDescent="0.25">
      <c r="D12" s="345"/>
      <c r="E12" s="345"/>
      <c r="F12" s="345"/>
      <c r="G12" s="345"/>
    </row>
    <row r="13" spans="1:9" x14ac:dyDescent="0.25">
      <c r="A13" s="825" t="s">
        <v>200</v>
      </c>
      <c r="B13" s="825"/>
      <c r="C13" s="825"/>
      <c r="D13" s="346">
        <f>H61</f>
        <v>4206.5632863436022</v>
      </c>
      <c r="E13" s="347" t="s">
        <v>98</v>
      </c>
    </row>
    <row r="14" spans="1:9" x14ac:dyDescent="0.25">
      <c r="A14" s="831" t="s">
        <v>201</v>
      </c>
      <c r="B14" s="831"/>
      <c r="C14" s="831"/>
      <c r="D14" s="831"/>
      <c r="E14" s="831"/>
      <c r="F14" s="831"/>
      <c r="G14" s="831"/>
      <c r="H14" s="831"/>
    </row>
    <row r="15" spans="1:9" x14ac:dyDescent="0.25">
      <c r="A15" s="832" t="s">
        <v>202</v>
      </c>
      <c r="B15" s="832"/>
      <c r="C15" s="832"/>
      <c r="D15" s="832"/>
      <c r="E15" s="832"/>
      <c r="F15" s="832"/>
      <c r="G15" s="832"/>
      <c r="H15" s="832"/>
    </row>
    <row r="16" spans="1:9" ht="59.25" customHeight="1" x14ac:dyDescent="0.2">
      <c r="A16" s="833" t="s">
        <v>295</v>
      </c>
      <c r="B16" s="833"/>
      <c r="C16" s="833"/>
      <c r="D16" s="833"/>
      <c r="E16" s="833"/>
      <c r="F16" s="833"/>
      <c r="G16" s="833"/>
      <c r="H16" s="833"/>
      <c r="I16" s="348"/>
    </row>
    <row r="17" spans="1:8" ht="4.5" customHeight="1" x14ac:dyDescent="0.25">
      <c r="A17" s="349"/>
      <c r="B17" s="349"/>
      <c r="C17" s="349"/>
      <c r="D17" s="349"/>
      <c r="E17" s="349"/>
      <c r="F17" s="349"/>
      <c r="G17" s="349"/>
      <c r="H17" s="349"/>
    </row>
    <row r="18" spans="1:8" ht="14.25" customHeight="1" thickBot="1" x14ac:dyDescent="0.25">
      <c r="A18" s="834" t="s">
        <v>350</v>
      </c>
      <c r="B18" s="834"/>
      <c r="C18" s="834"/>
      <c r="D18" s="834"/>
      <c r="E18" s="834"/>
      <c r="F18" s="834"/>
      <c r="G18" s="834"/>
      <c r="H18" s="834"/>
    </row>
    <row r="19" spans="1:8" s="350" customFormat="1" ht="14.25" customHeight="1" x14ac:dyDescent="0.25">
      <c r="A19" s="835" t="s">
        <v>203</v>
      </c>
      <c r="B19" s="837" t="s">
        <v>204</v>
      </c>
      <c r="C19" s="837" t="s">
        <v>205</v>
      </c>
      <c r="D19" s="837" t="s">
        <v>206</v>
      </c>
      <c r="E19" s="837"/>
      <c r="F19" s="837"/>
      <c r="G19" s="837"/>
      <c r="H19" s="839" t="s">
        <v>207</v>
      </c>
    </row>
    <row r="20" spans="1:8" s="350" customFormat="1" ht="39" customHeight="1" x14ac:dyDescent="0.25">
      <c r="A20" s="836"/>
      <c r="B20" s="838"/>
      <c r="C20" s="838"/>
      <c r="D20" s="351" t="s">
        <v>208</v>
      </c>
      <c r="E20" s="351" t="s">
        <v>209</v>
      </c>
      <c r="F20" s="351" t="s">
        <v>210</v>
      </c>
      <c r="G20" s="351" t="s">
        <v>211</v>
      </c>
      <c r="H20" s="840"/>
    </row>
    <row r="21" spans="1:8" x14ac:dyDescent="0.25">
      <c r="A21" s="352">
        <v>1</v>
      </c>
      <c r="B21" s="353">
        <v>2</v>
      </c>
      <c r="C21" s="353">
        <v>3</v>
      </c>
      <c r="D21" s="353">
        <v>4</v>
      </c>
      <c r="E21" s="353">
        <v>5</v>
      </c>
      <c r="F21" s="353">
        <v>6</v>
      </c>
      <c r="G21" s="353">
        <v>7</v>
      </c>
      <c r="H21" s="354">
        <v>8</v>
      </c>
    </row>
    <row r="22" spans="1:8" x14ac:dyDescent="0.25">
      <c r="A22" s="355">
        <v>1</v>
      </c>
      <c r="B22" s="356" t="s">
        <v>212</v>
      </c>
      <c r="C22" s="356" t="s">
        <v>213</v>
      </c>
      <c r="D22" s="357"/>
      <c r="E22" s="358"/>
      <c r="F22" s="358"/>
      <c r="G22" s="358"/>
      <c r="H22" s="359"/>
    </row>
    <row r="23" spans="1:8" x14ac:dyDescent="0.25">
      <c r="A23" s="355">
        <v>2</v>
      </c>
      <c r="B23" s="356" t="s">
        <v>214</v>
      </c>
      <c r="C23" s="360" t="s">
        <v>149</v>
      </c>
      <c r="D23" s="361">
        <v>0</v>
      </c>
      <c r="E23" s="362"/>
      <c r="F23" s="362"/>
      <c r="G23" s="362"/>
      <c r="H23" s="363">
        <f>D23+G23</f>
        <v>0</v>
      </c>
    </row>
    <row r="24" spans="1:8" x14ac:dyDescent="0.25">
      <c r="A24" s="355">
        <v>3</v>
      </c>
      <c r="B24" s="356"/>
      <c r="C24" s="356" t="s">
        <v>215</v>
      </c>
      <c r="D24" s="361">
        <f>D23</f>
        <v>0</v>
      </c>
      <c r="E24" s="361">
        <f>E23</f>
        <v>0</v>
      </c>
      <c r="F24" s="361">
        <f>F23</f>
        <v>0</v>
      </c>
      <c r="G24" s="361">
        <v>0</v>
      </c>
      <c r="H24" s="364">
        <f>H23</f>
        <v>0</v>
      </c>
    </row>
    <row r="25" spans="1:8" x14ac:dyDescent="0.25">
      <c r="A25" s="355">
        <v>4</v>
      </c>
      <c r="B25" s="356" t="s">
        <v>216</v>
      </c>
      <c r="C25" s="356" t="s">
        <v>217</v>
      </c>
      <c r="D25" s="361"/>
      <c r="E25" s="362"/>
      <c r="F25" s="362"/>
      <c r="G25" s="362"/>
      <c r="H25" s="363"/>
    </row>
    <row r="26" spans="1:8" ht="27" hidden="1" customHeight="1" x14ac:dyDescent="0.25">
      <c r="A26" s="355">
        <v>5</v>
      </c>
      <c r="B26" s="356" t="s">
        <v>218</v>
      </c>
      <c r="C26" s="360" t="s">
        <v>219</v>
      </c>
      <c r="D26" s="365">
        <v>0</v>
      </c>
      <c r="E26" s="366"/>
      <c r="F26" s="366"/>
      <c r="G26" s="365"/>
      <c r="H26" s="367">
        <f>SUM(D26:G26)</f>
        <v>0</v>
      </c>
    </row>
    <row r="27" spans="1:8" ht="15.75" customHeight="1" x14ac:dyDescent="0.25">
      <c r="A27" s="355">
        <v>5</v>
      </c>
      <c r="B27" s="356" t="s">
        <v>220</v>
      </c>
      <c r="C27" s="360" t="s">
        <v>221</v>
      </c>
      <c r="D27" s="368"/>
      <c r="E27" s="365">
        <f>'[45] 12-гр. ЛС 1 (2)'!M349/1000</f>
        <v>533.21501999999998</v>
      </c>
      <c r="F27" s="366"/>
      <c r="G27" s="365">
        <f>'[45] 12-гр. ЛС 1 (2)'!M345/1000</f>
        <v>2.6519900000000001</v>
      </c>
      <c r="H27" s="367">
        <f>SUM(E27:G27)</f>
        <v>535.86700999999994</v>
      </c>
    </row>
    <row r="28" spans="1:8" ht="24.75" hidden="1" customHeight="1" x14ac:dyDescent="0.25">
      <c r="A28" s="355"/>
      <c r="B28" s="356" t="s">
        <v>222</v>
      </c>
      <c r="C28" s="360"/>
      <c r="D28" s="365"/>
      <c r="E28" s="366"/>
      <c r="F28" s="366"/>
      <c r="G28" s="365"/>
      <c r="H28" s="367">
        <f>G28+F28+E28+D28</f>
        <v>0</v>
      </c>
    </row>
    <row r="29" spans="1:8" ht="15.75" hidden="1" customHeight="1" x14ac:dyDescent="0.25">
      <c r="A29" s="355"/>
      <c r="B29" s="356" t="s">
        <v>223</v>
      </c>
      <c r="C29" s="360" t="s">
        <v>224</v>
      </c>
      <c r="D29" s="365"/>
      <c r="E29" s="366"/>
      <c r="F29" s="366"/>
      <c r="G29" s="365"/>
      <c r="H29" s="367">
        <f>G29+F29+E29+D29</f>
        <v>0</v>
      </c>
    </row>
    <row r="30" spans="1:8" ht="15.75" hidden="1" customHeight="1" x14ac:dyDescent="0.25">
      <c r="A30" s="355"/>
      <c r="B30" s="356" t="s">
        <v>225</v>
      </c>
      <c r="C30" s="360" t="s">
        <v>226</v>
      </c>
      <c r="D30" s="365"/>
      <c r="E30" s="366"/>
      <c r="F30" s="366"/>
      <c r="G30" s="365"/>
      <c r="H30" s="367">
        <f>G30+F30+E30+D30</f>
        <v>0</v>
      </c>
    </row>
    <row r="31" spans="1:8" ht="15.75" hidden="1" customHeight="1" x14ac:dyDescent="0.25">
      <c r="A31" s="355"/>
      <c r="B31" s="356" t="s">
        <v>227</v>
      </c>
      <c r="C31" s="360" t="s">
        <v>228</v>
      </c>
      <c r="D31" s="365"/>
      <c r="E31" s="366"/>
      <c r="F31" s="366"/>
      <c r="G31" s="365"/>
      <c r="H31" s="367">
        <f>G31+F31+E31+D31</f>
        <v>0</v>
      </c>
    </row>
    <row r="32" spans="1:8" ht="15.75" hidden="1" customHeight="1" x14ac:dyDescent="0.25">
      <c r="A32" s="355"/>
      <c r="B32" s="356"/>
      <c r="C32" s="360"/>
      <c r="D32" s="365"/>
      <c r="E32" s="366"/>
      <c r="F32" s="366"/>
      <c r="G32" s="365"/>
      <c r="H32" s="367">
        <f>G32+F32+E32+D32</f>
        <v>0</v>
      </c>
    </row>
    <row r="33" spans="1:8" x14ac:dyDescent="0.25">
      <c r="A33" s="355">
        <v>6</v>
      </c>
      <c r="B33" s="356"/>
      <c r="C33" s="356" t="s">
        <v>229</v>
      </c>
      <c r="D33" s="361">
        <f>SUM(D26:D32)</f>
        <v>0</v>
      </c>
      <c r="E33" s="361">
        <f>SUM(E26:E32)</f>
        <v>533.21501999999998</v>
      </c>
      <c r="F33" s="361">
        <f>SUM(F26:F32)</f>
        <v>0</v>
      </c>
      <c r="G33" s="361">
        <f>SUM(G26:G32)</f>
        <v>2.6519900000000001</v>
      </c>
      <c r="H33" s="364">
        <f>SUM(H26:H32)</f>
        <v>535.86700999999994</v>
      </c>
    </row>
    <row r="34" spans="1:8" x14ac:dyDescent="0.25">
      <c r="A34" s="355">
        <v>7</v>
      </c>
      <c r="B34" s="369"/>
      <c r="C34" s="356" t="s">
        <v>230</v>
      </c>
      <c r="D34" s="370">
        <f>D33+D24</f>
        <v>0</v>
      </c>
      <c r="E34" s="370">
        <f>E24+E33</f>
        <v>533.21501999999998</v>
      </c>
      <c r="F34" s="370">
        <f>F24+F33</f>
        <v>0</v>
      </c>
      <c r="G34" s="370">
        <f>G24+G33</f>
        <v>2.6519900000000001</v>
      </c>
      <c r="H34" s="371">
        <f>H24+H33</f>
        <v>535.86700999999994</v>
      </c>
    </row>
    <row r="35" spans="1:8" ht="51" x14ac:dyDescent="0.25">
      <c r="A35" s="355">
        <v>8</v>
      </c>
      <c r="B35" s="369"/>
      <c r="C35" s="356" t="s">
        <v>351</v>
      </c>
      <c r="D35" s="370">
        <f>D34+D25</f>
        <v>0</v>
      </c>
      <c r="E35" s="370">
        <f>E34*5.08</f>
        <v>2708.7323016</v>
      </c>
      <c r="F35" s="370">
        <f>F34*4.44</f>
        <v>0</v>
      </c>
      <c r="G35" s="370">
        <f>G34*8.72</f>
        <v>23.125352800000002</v>
      </c>
      <c r="H35" s="371">
        <f>G35+F35+E35</f>
        <v>2731.8576544000002</v>
      </c>
    </row>
    <row r="36" spans="1:8" x14ac:dyDescent="0.25">
      <c r="A36" s="355">
        <v>9</v>
      </c>
      <c r="B36" s="356" t="s">
        <v>231</v>
      </c>
      <c r="C36" s="356" t="s">
        <v>232</v>
      </c>
      <c r="D36" s="370"/>
      <c r="E36" s="370"/>
      <c r="F36" s="370"/>
      <c r="G36" s="370"/>
      <c r="H36" s="371"/>
    </row>
    <row r="37" spans="1:8" ht="25.5" x14ac:dyDescent="0.25">
      <c r="A37" s="355">
        <v>10</v>
      </c>
      <c r="B37" s="356" t="s">
        <v>233</v>
      </c>
      <c r="C37" s="356" t="s">
        <v>234</v>
      </c>
      <c r="D37" s="370">
        <f>D34*3.9%</f>
        <v>0</v>
      </c>
      <c r="E37" s="370">
        <v>0</v>
      </c>
      <c r="F37" s="370"/>
      <c r="G37" s="370"/>
      <c r="H37" s="371">
        <f>D37+E37</f>
        <v>0</v>
      </c>
    </row>
    <row r="38" spans="1:8" x14ac:dyDescent="0.25">
      <c r="A38" s="355">
        <v>11</v>
      </c>
      <c r="B38" s="372"/>
      <c r="C38" s="356" t="s">
        <v>235</v>
      </c>
      <c r="D38" s="370">
        <f>D37+D34</f>
        <v>0</v>
      </c>
      <c r="E38" s="370">
        <f>E34*3.9%</f>
        <v>20.79538578</v>
      </c>
      <c r="F38" s="370">
        <f>F37+F34</f>
        <v>0</v>
      </c>
      <c r="G38" s="370">
        <f>G37+G34</f>
        <v>2.6519900000000001</v>
      </c>
      <c r="H38" s="371">
        <f>G38+F38+E38</f>
        <v>23.447375780000002</v>
      </c>
    </row>
    <row r="39" spans="1:8" x14ac:dyDescent="0.25">
      <c r="A39" s="355">
        <v>12</v>
      </c>
      <c r="B39" s="372"/>
      <c r="C39" s="356" t="s">
        <v>236</v>
      </c>
      <c r="D39" s="370">
        <f>D38+D35</f>
        <v>0</v>
      </c>
      <c r="E39" s="370">
        <f>E35*3.9%</f>
        <v>105.6405597624</v>
      </c>
      <c r="F39" s="370">
        <f>F35</f>
        <v>0</v>
      </c>
      <c r="G39" s="370">
        <f>G38+G35</f>
        <v>25.777342800000003</v>
      </c>
      <c r="H39" s="371">
        <f>G39+F39+E39</f>
        <v>131.4179025624</v>
      </c>
    </row>
    <row r="40" spans="1:8" x14ac:dyDescent="0.25">
      <c r="A40" s="355">
        <v>13</v>
      </c>
      <c r="B40" s="373" t="s">
        <v>237</v>
      </c>
      <c r="C40" s="356" t="s">
        <v>238</v>
      </c>
      <c r="D40" s="361"/>
      <c r="E40" s="361"/>
      <c r="F40" s="361"/>
      <c r="G40" s="361"/>
      <c r="H40" s="371"/>
    </row>
    <row r="41" spans="1:8" ht="25.5" x14ac:dyDescent="0.25">
      <c r="A41" s="355">
        <v>14</v>
      </c>
      <c r="B41" s="374" t="s">
        <v>239</v>
      </c>
      <c r="C41" s="375" t="s">
        <v>240</v>
      </c>
      <c r="D41" s="376">
        <f>D34*2.1%</f>
        <v>0</v>
      </c>
      <c r="E41" s="376">
        <f>E38*2.1%</f>
        <v>0.43670310138000001</v>
      </c>
      <c r="F41" s="376">
        <v>0</v>
      </c>
      <c r="G41" s="376">
        <v>0</v>
      </c>
      <c r="H41" s="377">
        <f>SUM(D41:G41)</f>
        <v>0.43670310138000001</v>
      </c>
    </row>
    <row r="42" spans="1:8" x14ac:dyDescent="0.25">
      <c r="A42" s="355">
        <v>15</v>
      </c>
      <c r="B42" s="378" t="s">
        <v>241</v>
      </c>
      <c r="C42" s="356" t="s">
        <v>242</v>
      </c>
      <c r="D42" s="361">
        <v>0</v>
      </c>
      <c r="E42" s="361">
        <v>0</v>
      </c>
      <c r="F42" s="361">
        <v>0</v>
      </c>
      <c r="G42" s="361"/>
      <c r="H42" s="371">
        <f>G42</f>
        <v>0</v>
      </c>
    </row>
    <row r="43" spans="1:8" x14ac:dyDescent="0.25">
      <c r="A43" s="355">
        <v>16</v>
      </c>
      <c r="B43" s="378" t="s">
        <v>243</v>
      </c>
      <c r="C43" s="356" t="s">
        <v>244</v>
      </c>
      <c r="D43" s="361">
        <v>0</v>
      </c>
      <c r="E43" s="361">
        <v>0</v>
      </c>
      <c r="F43" s="361">
        <v>0</v>
      </c>
      <c r="G43" s="361"/>
      <c r="H43" s="371">
        <f>G43</f>
        <v>0</v>
      </c>
    </row>
    <row r="44" spans="1:8" hidden="1" x14ac:dyDescent="0.25">
      <c r="A44" s="355">
        <v>27</v>
      </c>
      <c r="B44" s="378"/>
      <c r="C44" s="356" t="s">
        <v>245</v>
      </c>
      <c r="D44" s="361"/>
      <c r="E44" s="361"/>
      <c r="F44" s="361"/>
      <c r="G44" s="361"/>
      <c r="H44" s="371">
        <f>F44</f>
        <v>0</v>
      </c>
    </row>
    <row r="45" spans="1:8" x14ac:dyDescent="0.25">
      <c r="A45" s="355">
        <v>17</v>
      </c>
      <c r="B45" s="378" t="s">
        <v>246</v>
      </c>
      <c r="C45" s="356" t="s">
        <v>247</v>
      </c>
      <c r="D45" s="361">
        <v>0</v>
      </c>
      <c r="E45" s="361">
        <v>0</v>
      </c>
      <c r="F45" s="361">
        <v>0</v>
      </c>
      <c r="G45" s="361"/>
      <c r="H45" s="371">
        <f>G45</f>
        <v>0</v>
      </c>
    </row>
    <row r="46" spans="1:8" x14ac:dyDescent="0.25">
      <c r="A46" s="355">
        <v>18</v>
      </c>
      <c r="B46" s="378"/>
      <c r="C46" s="356" t="s">
        <v>248</v>
      </c>
      <c r="D46" s="361">
        <f>SUM(D41:D45)</f>
        <v>0</v>
      </c>
      <c r="E46" s="361">
        <f>SUM(E41:E45)</f>
        <v>0.43670310138000001</v>
      </c>
      <c r="F46" s="361">
        <f>F44</f>
        <v>0</v>
      </c>
      <c r="G46" s="361">
        <f>SUM(G41:G45)</f>
        <v>0</v>
      </c>
      <c r="H46" s="371">
        <f>SUM(H41:H45)</f>
        <v>0.43670310138000001</v>
      </c>
    </row>
    <row r="47" spans="1:8" ht="38.25" x14ac:dyDescent="0.25">
      <c r="A47" s="355">
        <v>19</v>
      </c>
      <c r="B47" s="379"/>
      <c r="C47" s="356" t="s">
        <v>352</v>
      </c>
      <c r="D47" s="361">
        <f>SUM(D42:D46)</f>
        <v>0</v>
      </c>
      <c r="E47" s="361">
        <f>E39*2.1%</f>
        <v>2.2184517550104004</v>
      </c>
      <c r="F47" s="361">
        <f>F45</f>
        <v>0</v>
      </c>
      <c r="G47" s="361">
        <f>(G42*13.99)+(G43*7.15)+(G45*8.59)</f>
        <v>0</v>
      </c>
      <c r="H47" s="371">
        <f>G47+F47+E47</f>
        <v>2.2184517550104004</v>
      </c>
    </row>
    <row r="48" spans="1:8" ht="31.5" customHeight="1" x14ac:dyDescent="0.25">
      <c r="A48" s="355">
        <v>20</v>
      </c>
      <c r="B48" s="356"/>
      <c r="C48" s="356" t="s">
        <v>249</v>
      </c>
      <c r="D48" s="361">
        <f>D46+D38</f>
        <v>0</v>
      </c>
      <c r="E48" s="361">
        <f>E35+E39+E47</f>
        <v>2816.5913131174102</v>
      </c>
      <c r="F48" s="361">
        <f>F39</f>
        <v>0</v>
      </c>
      <c r="G48" s="361">
        <f>G47</f>
        <v>0</v>
      </c>
      <c r="H48" s="364">
        <f>G48+F48+E48</f>
        <v>2816.5913131174102</v>
      </c>
    </row>
    <row r="49" spans="1:10" ht="24.75" customHeight="1" x14ac:dyDescent="0.25">
      <c r="A49" s="355">
        <v>21</v>
      </c>
      <c r="B49" s="356" t="s">
        <v>250</v>
      </c>
      <c r="C49" s="356" t="s">
        <v>251</v>
      </c>
      <c r="D49" s="361"/>
      <c r="E49" s="361"/>
      <c r="F49" s="361"/>
      <c r="G49" s="361"/>
      <c r="H49" s="364"/>
    </row>
    <row r="50" spans="1:10" ht="25.5" x14ac:dyDescent="0.25">
      <c r="A50" s="355">
        <v>22</v>
      </c>
      <c r="B50" s="356"/>
      <c r="C50" s="356" t="s">
        <v>343</v>
      </c>
      <c r="D50" s="361"/>
      <c r="E50" s="361"/>
      <c r="F50" s="361"/>
      <c r="G50" s="361">
        <f>H48*5.08%</f>
        <v>143.08283870636444</v>
      </c>
      <c r="H50" s="364">
        <f>G50</f>
        <v>143.08283870636444</v>
      </c>
    </row>
    <row r="51" spans="1:10" ht="63.75" x14ac:dyDescent="0.25">
      <c r="A51" s="355">
        <v>23</v>
      </c>
      <c r="B51" s="356"/>
      <c r="C51" s="380" t="s">
        <v>252</v>
      </c>
      <c r="D51" s="361"/>
      <c r="E51" s="361"/>
      <c r="F51" s="361"/>
      <c r="G51" s="361">
        <f>H48*2.14%</f>
        <v>60.275054100712588</v>
      </c>
      <c r="H51" s="364">
        <f>G51</f>
        <v>60.275054100712588</v>
      </c>
    </row>
    <row r="52" spans="1:10" x14ac:dyDescent="0.25">
      <c r="A52" s="355">
        <v>24</v>
      </c>
      <c r="B52" s="356"/>
      <c r="C52" s="356" t="s">
        <v>253</v>
      </c>
      <c r="D52" s="361"/>
      <c r="E52" s="361"/>
      <c r="F52" s="361"/>
      <c r="G52" s="361">
        <f>G50+G51</f>
        <v>203.35789280707704</v>
      </c>
      <c r="H52" s="364">
        <f>H50+H51</f>
        <v>203.35789280707704</v>
      </c>
    </row>
    <row r="53" spans="1:10" x14ac:dyDescent="0.25">
      <c r="A53" s="355"/>
      <c r="B53" s="356"/>
      <c r="C53" s="356" t="s">
        <v>353</v>
      </c>
      <c r="D53" s="361"/>
      <c r="E53" s="361"/>
      <c r="F53" s="361"/>
      <c r="G53" s="361"/>
      <c r="H53" s="383">
        <f>H52+H48</f>
        <v>3019.9492059244872</v>
      </c>
    </row>
    <row r="54" spans="1:10" x14ac:dyDescent="0.25">
      <c r="A54" s="355">
        <v>25</v>
      </c>
      <c r="B54" s="356" t="s">
        <v>254</v>
      </c>
      <c r="C54" s="356" t="s">
        <v>255</v>
      </c>
      <c r="D54" s="361"/>
      <c r="E54" s="361"/>
      <c r="F54" s="361"/>
      <c r="G54" s="361"/>
      <c r="H54" s="364"/>
    </row>
    <row r="55" spans="1:10" ht="25.5" x14ac:dyDescent="0.25">
      <c r="A55" s="355">
        <v>26</v>
      </c>
      <c r="B55" s="356" t="s">
        <v>256</v>
      </c>
      <c r="C55" s="356" t="s">
        <v>257</v>
      </c>
      <c r="D55" s="361"/>
      <c r="E55" s="361"/>
      <c r="F55" s="361"/>
      <c r="G55" s="365">
        <f>'ПИР КЛ прокол (3)'!I7</f>
        <v>220.85455859292591</v>
      </c>
      <c r="H55" s="367">
        <f>G55</f>
        <v>220.85455859292591</v>
      </c>
    </row>
    <row r="56" spans="1:10" ht="16.5" customHeight="1" x14ac:dyDescent="0.25">
      <c r="A56" s="355">
        <v>27</v>
      </c>
      <c r="B56" s="356"/>
      <c r="C56" s="356" t="s">
        <v>258</v>
      </c>
      <c r="D56" s="361">
        <v>0</v>
      </c>
      <c r="E56" s="361">
        <v>0</v>
      </c>
      <c r="F56" s="361">
        <v>0</v>
      </c>
      <c r="G56" s="361">
        <f>SUM(G55:G55)</f>
        <v>220.85455859292591</v>
      </c>
      <c r="H56" s="364">
        <f>G56</f>
        <v>220.85455859292591</v>
      </c>
    </row>
    <row r="57" spans="1:10" ht="16.5" customHeight="1" x14ac:dyDescent="0.25">
      <c r="A57" s="355">
        <v>28</v>
      </c>
      <c r="B57" s="356"/>
      <c r="C57" s="356" t="s">
        <v>259</v>
      </c>
      <c r="D57" s="361">
        <f>D48+D56</f>
        <v>0</v>
      </c>
      <c r="E57" s="361">
        <f>E48+E56</f>
        <v>2816.5913131174102</v>
      </c>
      <c r="F57" s="361">
        <f>F48+F56</f>
        <v>0</v>
      </c>
      <c r="G57" s="361">
        <f>G48+G56+G52</f>
        <v>424.21245140000292</v>
      </c>
      <c r="H57" s="364">
        <f>H48+H56+H52</f>
        <v>3240.8037645174131</v>
      </c>
    </row>
    <row r="58" spans="1:10" ht="16.5" customHeight="1" x14ac:dyDescent="0.25">
      <c r="A58" s="355">
        <v>29</v>
      </c>
      <c r="B58" s="356"/>
      <c r="C58" s="356" t="s">
        <v>260</v>
      </c>
      <c r="D58" s="361">
        <f>D57*3%</f>
        <v>0</v>
      </c>
      <c r="E58" s="361">
        <f>E57*3%</f>
        <v>84.497739393522309</v>
      </c>
      <c r="F58" s="361">
        <f>F57*10%</f>
        <v>0</v>
      </c>
      <c r="G58" s="361">
        <f>G57*3%</f>
        <v>12.726373542000086</v>
      </c>
      <c r="H58" s="364">
        <f>H57*10%</f>
        <v>324.08037645174136</v>
      </c>
    </row>
    <row r="59" spans="1:10" ht="16.5" customHeight="1" x14ac:dyDescent="0.25">
      <c r="A59" s="355">
        <v>30</v>
      </c>
      <c r="B59" s="356"/>
      <c r="C59" s="381" t="s">
        <v>261</v>
      </c>
      <c r="D59" s="382">
        <f>D57+D58</f>
        <v>0</v>
      </c>
      <c r="E59" s="382">
        <f>E57+E58</f>
        <v>2901.0890525109326</v>
      </c>
      <c r="F59" s="382">
        <f>F57+F58</f>
        <v>0</v>
      </c>
      <c r="G59" s="382">
        <f>G57+G58</f>
        <v>436.93882494200301</v>
      </c>
      <c r="H59" s="383">
        <f>H57+H58</f>
        <v>3564.8841409691545</v>
      </c>
      <c r="I59" s="334">
        <f>G59-G55</f>
        <v>216.0842663490771</v>
      </c>
    </row>
    <row r="60" spans="1:10" ht="33" customHeight="1" x14ac:dyDescent="0.25">
      <c r="A60" s="355">
        <v>31</v>
      </c>
      <c r="B60" s="384"/>
      <c r="C60" s="385" t="s">
        <v>262</v>
      </c>
      <c r="D60" s="361">
        <f>D59*0.18</f>
        <v>0</v>
      </c>
      <c r="E60" s="361">
        <f>E59*0.18</f>
        <v>522.19602945196789</v>
      </c>
      <c r="F60" s="361">
        <f>F59*0.18</f>
        <v>0</v>
      </c>
      <c r="G60" s="361">
        <f>G59*0.18</f>
        <v>78.648988489560537</v>
      </c>
      <c r="H60" s="364">
        <f>H59*18%</f>
        <v>641.67914537444778</v>
      </c>
    </row>
    <row r="61" spans="1:10" ht="37.5" customHeight="1" thickBot="1" x14ac:dyDescent="0.25">
      <c r="A61" s="355">
        <v>32</v>
      </c>
      <c r="B61" s="386"/>
      <c r="C61" s="387" t="s">
        <v>263</v>
      </c>
      <c r="D61" s="388">
        <f>D59+D60</f>
        <v>0</v>
      </c>
      <c r="E61" s="388">
        <f>E59+E60</f>
        <v>3423.2850819629002</v>
      </c>
      <c r="F61" s="388">
        <f>F59+F60</f>
        <v>0</v>
      </c>
      <c r="G61" s="388">
        <f>G59+G60</f>
        <v>515.58781343156352</v>
      </c>
      <c r="H61" s="389">
        <f>H59+H60</f>
        <v>4206.5632863436022</v>
      </c>
      <c r="J61" s="390"/>
    </row>
    <row r="62" spans="1:10" ht="13.15" customHeight="1" x14ac:dyDescent="0.25">
      <c r="A62" s="391"/>
      <c r="B62" s="392"/>
      <c r="C62" s="393"/>
      <c r="D62" s="394"/>
      <c r="E62" s="394"/>
      <c r="F62" s="394"/>
      <c r="G62" s="394"/>
      <c r="H62" s="394"/>
    </row>
    <row r="63" spans="1:10" x14ac:dyDescent="0.25">
      <c r="A63" s="395"/>
      <c r="B63" s="395"/>
      <c r="C63" s="396"/>
      <c r="D63" s="396"/>
      <c r="E63" s="396"/>
      <c r="F63" s="396"/>
      <c r="G63" s="396"/>
      <c r="H63" s="396"/>
    </row>
    <row r="64" spans="1:10" ht="0.75" customHeight="1" x14ac:dyDescent="0.25">
      <c r="A64" s="395"/>
      <c r="B64" s="395"/>
      <c r="C64" s="396"/>
      <c r="D64" s="396"/>
      <c r="E64" s="396"/>
      <c r="F64" s="396"/>
      <c r="G64" s="396"/>
      <c r="H64" s="396"/>
    </row>
    <row r="65" spans="1:8" x14ac:dyDescent="0.2">
      <c r="A65" s="397"/>
      <c r="B65" s="398" t="s">
        <v>150</v>
      </c>
      <c r="C65" s="399"/>
      <c r="D65" s="399"/>
      <c r="E65" s="400"/>
      <c r="F65" s="400"/>
      <c r="G65" s="400"/>
      <c r="H65" s="400"/>
    </row>
    <row r="66" spans="1:8" x14ac:dyDescent="0.2">
      <c r="A66" s="401"/>
      <c r="B66" s="401"/>
      <c r="C66" s="402"/>
      <c r="D66" s="401"/>
      <c r="E66" s="400"/>
      <c r="F66" s="400"/>
      <c r="G66" s="400"/>
      <c r="H66" s="400"/>
    </row>
    <row r="67" spans="1:8" ht="18.600000000000001" customHeight="1" x14ac:dyDescent="0.2">
      <c r="A67" s="830" t="s">
        <v>264</v>
      </c>
      <c r="B67" s="830"/>
      <c r="C67" s="403"/>
      <c r="D67" s="400"/>
      <c r="E67" s="400"/>
      <c r="F67" s="400"/>
      <c r="G67" s="400"/>
      <c r="H67" s="404"/>
    </row>
    <row r="68" spans="1:8" x14ac:dyDescent="0.2">
      <c r="A68" s="405"/>
      <c r="B68" s="405"/>
      <c r="C68" s="405"/>
      <c r="D68" s="400"/>
      <c r="E68" s="400"/>
      <c r="F68" s="400"/>
      <c r="G68" s="400"/>
      <c r="H68" s="400"/>
    </row>
  </sheetData>
  <mergeCells count="16">
    <mergeCell ref="A67:B67"/>
    <mergeCell ref="A14:H14"/>
    <mergeCell ref="A15:H15"/>
    <mergeCell ref="A16:H16"/>
    <mergeCell ref="A18:H18"/>
    <mergeCell ref="A19:A20"/>
    <mergeCell ref="B19:B20"/>
    <mergeCell ref="C19:C20"/>
    <mergeCell ref="D19:G19"/>
    <mergeCell ref="H19:H20"/>
    <mergeCell ref="A13:C13"/>
    <mergeCell ref="E3:F3"/>
    <mergeCell ref="F4:H4"/>
    <mergeCell ref="F5:H5"/>
    <mergeCell ref="B6:D6"/>
    <mergeCell ref="F6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межевание</vt:lpstr>
      <vt:lpstr>планировка территории</vt:lpstr>
      <vt:lpstr>топограф 2,97км</vt:lpstr>
      <vt:lpstr>Эколог</vt:lpstr>
      <vt:lpstr>топографКЛ-10 2,97км</vt:lpstr>
      <vt:lpstr>геол</vt:lpstr>
      <vt:lpstr>ПИР КЛ прокол (3)</vt:lpstr>
      <vt:lpstr>СМР ГНБ </vt:lpstr>
      <vt:lpstr>ССР КЛ ГНБ</vt:lpstr>
      <vt:lpstr>ТОП прокол ( 0,38)</vt:lpstr>
      <vt:lpstr>ПИР КЛ 10кВ  2,97км</vt:lpstr>
      <vt:lpstr>смр КЛ 10кВ</vt:lpstr>
      <vt:lpstr>ССР</vt:lpstr>
      <vt:lpstr>межевание!Область_печати</vt:lpstr>
      <vt:lpstr>'ПИР КЛ 10кВ  2,97км'!Область_печати</vt:lpstr>
      <vt:lpstr>'планировка территории'!Область_печати</vt:lpstr>
      <vt:lpstr>'смр КЛ 10кВ'!Область_печати</vt:lpstr>
      <vt:lpstr>'топографКЛ-10 2,97км'!Область_печати</vt:lpstr>
      <vt:lpstr>Эколог!Область_печати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Яна Аркадьевна</dc:creator>
  <cp:lastModifiedBy>Лебедева Яна Аркадьевна</cp:lastModifiedBy>
  <dcterms:created xsi:type="dcterms:W3CDTF">2018-01-18T11:34:44Z</dcterms:created>
  <dcterms:modified xsi:type="dcterms:W3CDTF">2018-06-18T10:56:30Z</dcterms:modified>
</cp:coreProperties>
</file>